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7.xml" ContentType="application/vnd.openxmlformats-officedocument.drawingml.chartshapes+xml"/>
  <Override PartName="/xl/drawings/drawing11.xml" ContentType="application/vnd.openxmlformats-officedocument.drawingml.chartshapes+xml"/>
  <Override PartName="/xl/drawings/drawing9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X:\Asphalt\Asphalt Liquids\Emulsion\Micro Surface\"/>
    </mc:Choice>
  </mc:AlternateContent>
  <workbookProtection workbookAlgorithmName="SHA-512" workbookHashValue="mMwWsfbhjchguQnJhO0sUMsPSehkLnD7lcxrfu4/cyB2HtfB5YAOYs1cyjCDBPK1MrkNT16nx/cAkwwyhB+fSA==" workbookSaltValue="M/ZugjTLROGVNQl0JSQJTQ==" workbookSpinCount="100000" lockStructure="1"/>
  <bookViews>
    <workbookView xWindow="0" yWindow="0" windowWidth="28800" windowHeight="12210" tabRatio="920" activeTab="1"/>
  </bookViews>
  <sheets>
    <sheet name="GETTING STARTED" sheetId="60" r:id="rId1"/>
    <sheet name="TRANS. COV." sheetId="19" r:id="rId2"/>
    <sheet name="JMF SHEET PG 1" sheetId="20" r:id="rId3"/>
    <sheet name="JMF SHEET PG 2" sheetId="95" r:id="rId4"/>
    <sheet name="JMF SHEET PG 3" sheetId="92" r:id="rId5"/>
    <sheet name="JMF SHEET PG 4" sheetId="78" r:id="rId6"/>
    <sheet name="JMF SHEET PG 5" sheetId="82" r:id="rId7"/>
    <sheet name="JMF SHEET PG 6" sheetId="87" r:id="rId8"/>
    <sheet name="JMF SHEET PG 7" sheetId="84" r:id="rId9"/>
    <sheet name="JMF SHEET PG 8" sheetId="79" r:id="rId10"/>
    <sheet name="GRAPH DATA" sheetId="85" state="hidden" r:id="rId11"/>
    <sheet name="421 Item Code Information" sheetId="73" state="hidden" r:id="rId12"/>
    <sheet name="01-Districts and Counties" sheetId="55" state="hidden" r:id="rId13"/>
    <sheet name="Spec year &amp; 800 dates" sheetId="93" state="hidden" r:id="rId14"/>
    <sheet name="02-Relevant Item Codes" sheetId="36" state="hidden" r:id="rId15"/>
    <sheet name="04-JMF Mix Suppliers" sheetId="40" state="hidden" r:id="rId16"/>
    <sheet name="07-Binder PS Codes" sheetId="39" state="hidden" r:id="rId17"/>
    <sheet name="10-Agg PS Codes" sheetId="57" state="hidden" r:id="rId18"/>
    <sheet name="12-Agg Mat Codes" sheetId="52" state="hidden" r:id="rId19"/>
    <sheet name="13-Portland Cement Suppliers" sheetId="86" state="hidden" r:id="rId20"/>
  </sheets>
  <definedNames>
    <definedName name="_01">'01-Districts and Counties'!$B$2:$B$9</definedName>
    <definedName name="_02">'01-Districts and Counties'!$C$2:$C$9</definedName>
    <definedName name="_03">'01-Districts and Counties'!$D$2:$D$9</definedName>
    <definedName name="_04">'01-Districts and Counties'!$E$2:$E$7</definedName>
    <definedName name="_05">'01-Districts and Counties'!$F$2:$F$8</definedName>
    <definedName name="_06">'01-Districts and Counties'!$G$2:$G$9</definedName>
    <definedName name="_07">'01-Districts and Counties'!$H$2:$H$10</definedName>
    <definedName name="_08">'01-Districts and Counties'!$I$2:$I$8</definedName>
    <definedName name="_09">'01-Districts and Counties'!$J$2:$J$9</definedName>
    <definedName name="_10">'01-Districts and Counties'!$K$2:$K$10</definedName>
    <definedName name="_11">'01-Districts and Counties'!$L$2:$L$8</definedName>
    <definedName name="_12">'01-Districts and Counties'!$M$2:$M$4</definedName>
    <definedName name="_xlnm._FilterDatabase" localSheetId="12" hidden="1">'01-Districts and Counties'!$A$1:$A$99</definedName>
    <definedName name="_xlnm.Print_Area" localSheetId="10">'GRAPH DATA'!$A$1:$AB$16</definedName>
    <definedName name="_xlnm.Print_Area" localSheetId="2">'JMF SHEET PG 1'!$A$1:$AO$75</definedName>
    <definedName name="_xlnm.Print_Area" localSheetId="3">'JMF SHEET PG 2'!$A$1:$L$45</definedName>
    <definedName name="_xlnm.Print_Area" localSheetId="4">'JMF SHEET PG 3'!$A$1:$S$36</definedName>
    <definedName name="_xlnm.Print_Area" localSheetId="5">'JMF SHEET PG 4'!$A$1:$AO$61</definedName>
    <definedName name="_xlnm.Print_Area" localSheetId="6">'JMF SHEET PG 5'!$A$1:$AO$79</definedName>
    <definedName name="_xlnm.Print_Area" localSheetId="7">'JMF SHEET PG 6'!$A$1:$AO$79</definedName>
    <definedName name="_xlnm.Print_Area" localSheetId="8">'JMF SHEET PG 7'!$A$1:$AO$63</definedName>
    <definedName name="_xlnm.Print_Area" localSheetId="9">'JMF SHEET PG 8'!$A$1:$AU$62</definedName>
    <definedName name="_xlnm.Print_Area" localSheetId="1">'TRANS. COV.'!$A$1:$AO$68</definedName>
    <definedName name="Traffic_251" localSheetId="3">#REF!</definedName>
    <definedName name="Traffic_251" localSheetId="7">#REF!</definedName>
    <definedName name="Traffic_251">#REF!</definedName>
    <definedName name="Traffic_252" localSheetId="3">#REF!</definedName>
    <definedName name="Traffic_252" localSheetId="7">#REF!</definedName>
    <definedName name="Traffic_252">#REF!</definedName>
    <definedName name="Traffic_253" localSheetId="3">#REF!</definedName>
    <definedName name="Traffic_253" localSheetId="7">#REF!</definedName>
    <definedName name="Traffic_253">#REF!</definedName>
    <definedName name="Traffic_254" localSheetId="3">#REF!</definedName>
    <definedName name="Traffic_254" localSheetId="7">#REF!</definedName>
    <definedName name="Traffic_254">#REF!</definedName>
    <definedName name="Traffic_441" localSheetId="3">#REF!</definedName>
    <definedName name="Traffic_441" localSheetId="7">#REF!</definedName>
    <definedName name="Traffic_441">#REF!</definedName>
    <definedName name="Traffic_451" localSheetId="3">#REF!</definedName>
    <definedName name="Traffic_451" localSheetId="7">#REF!</definedName>
    <definedName name="Traffic_451">#REF!</definedName>
    <definedName name="Traffic_608" localSheetId="3">#REF!</definedName>
    <definedName name="Traffic_608" localSheetId="7">#REF!</definedName>
    <definedName name="Traffic_608">#REF!</definedName>
    <definedName name="Traffic_609" localSheetId="3">#REF!</definedName>
    <definedName name="Traffic_609" localSheetId="7">#REF!</definedName>
    <definedName name="Traffic_609">#REF!</definedName>
    <definedName name="Traffic_614" localSheetId="3">#REF!</definedName>
    <definedName name="Traffic_614" localSheetId="7">#REF!</definedName>
    <definedName name="Traffic_614">#REF!</definedName>
    <definedName name="Traffic_615" localSheetId="3">#REF!</definedName>
    <definedName name="Traffic_615" localSheetId="7">#REF!</definedName>
    <definedName name="Traffic_615">#REF!</definedName>
    <definedName name="Traffic_625" localSheetId="3">#REF!</definedName>
    <definedName name="Traffic_625" localSheetId="7">#REF!</definedName>
    <definedName name="Traffic_625">#REF!</definedName>
    <definedName name="Traffic_806" localSheetId="3">#REF!</definedName>
    <definedName name="Traffic_806" localSheetId="7">#REF!</definedName>
    <definedName name="Traffic_806">#REF!</definedName>
    <definedName name="Traffic_823" localSheetId="3">#REF!</definedName>
    <definedName name="Traffic_823" localSheetId="7">#REF!</definedName>
    <definedName name="Traffic_823">#REF!</definedName>
    <definedName name="Traffic_826" localSheetId="3">#REF!</definedName>
    <definedName name="Traffic_826" localSheetId="7">#REF!</definedName>
    <definedName name="Traffic_826">#REF!</definedName>
    <definedName name="Traffic_857" localSheetId="3">#REF!</definedName>
    <definedName name="Traffic_857" localSheetId="7">#REF!</definedName>
    <definedName name="Traffic_857">#REF!</definedName>
    <definedName name="Traffic_859" localSheetId="3">#REF!</definedName>
    <definedName name="Traffic_859" localSheetId="7">#REF!</definedName>
    <definedName name="Traffic_859">#REF!</definedName>
    <definedName name="Traffic_880" localSheetId="3">#REF!</definedName>
    <definedName name="Traffic_880" localSheetId="7">#REF!</definedName>
    <definedName name="Traffic_880">#REF!</definedName>
    <definedName name="Traffic_List_All" localSheetId="3">#REF!</definedName>
    <definedName name="Traffic_List_All" localSheetId="7">#REF!</definedName>
    <definedName name="Traffic_List_All">#REF!</definedName>
  </definedNames>
  <calcPr calcId="171027"/>
</workbook>
</file>

<file path=xl/calcChain.xml><?xml version="1.0" encoding="utf-8"?>
<calcChain xmlns="http://schemas.openxmlformats.org/spreadsheetml/2006/main">
  <c r="I18" i="87" l="1"/>
  <c r="I18" i="82"/>
  <c r="X17" i="95" l="1"/>
  <c r="W17" i="95"/>
  <c r="V17" i="95"/>
  <c r="U17" i="95"/>
  <c r="X16" i="95"/>
  <c r="W16" i="95"/>
  <c r="V16" i="95"/>
  <c r="U16" i="95"/>
  <c r="X15" i="95"/>
  <c r="W15" i="95"/>
  <c r="V15" i="95"/>
  <c r="U15" i="95"/>
  <c r="AO75" i="20"/>
  <c r="AK44" i="20"/>
  <c r="AK43" i="20"/>
  <c r="AK51" i="78" l="1"/>
  <c r="AK50" i="78"/>
  <c r="AK52" i="20"/>
  <c r="AJ70" i="20"/>
  <c r="Z70" i="20"/>
  <c r="D13" i="92" l="1"/>
  <c r="F13" i="92"/>
  <c r="H13" i="92"/>
  <c r="J13" i="92"/>
  <c r="L13" i="92"/>
  <c r="N13" i="92"/>
  <c r="P13" i="92"/>
  <c r="R13" i="92"/>
  <c r="D14" i="92"/>
  <c r="F14" i="92"/>
  <c r="H14" i="92"/>
  <c r="J14" i="92"/>
  <c r="L14" i="92"/>
  <c r="N14" i="92"/>
  <c r="P14" i="92"/>
  <c r="R14" i="92"/>
  <c r="AW55" i="79"/>
  <c r="AW54" i="79"/>
  <c r="AY53" i="79"/>
  <c r="AX53" i="79"/>
  <c r="AW53" i="79"/>
  <c r="AY52" i="79"/>
  <c r="AX52" i="79"/>
  <c r="AW52" i="79"/>
  <c r="AY51" i="79"/>
  <c r="AW51" i="79"/>
  <c r="AW50" i="79"/>
  <c r="AX51" i="79"/>
  <c r="AY50" i="79"/>
  <c r="AX50" i="79"/>
  <c r="AF30" i="79"/>
  <c r="AF32" i="79" s="1"/>
  <c r="AC30" i="79"/>
  <c r="AC32" i="79" s="1"/>
  <c r="R15" i="92"/>
  <c r="P15" i="92"/>
  <c r="N15" i="92"/>
  <c r="L15" i="92"/>
  <c r="F15" i="92"/>
  <c r="H15" i="92"/>
  <c r="J15" i="92"/>
  <c r="D15" i="92"/>
  <c r="AJ59" i="20"/>
  <c r="Z59" i="20"/>
  <c r="AF34" i="79" l="1"/>
  <c r="AF36" i="79" s="1"/>
  <c r="AC34" i="79"/>
  <c r="AC36" i="79" s="1"/>
  <c r="J29" i="78"/>
  <c r="AJ72" i="20"/>
  <c r="Z72" i="20"/>
  <c r="AK54" i="20"/>
  <c r="B84" i="20" l="1"/>
  <c r="AO68" i="19" l="1"/>
  <c r="AJ71" i="20" l="1"/>
  <c r="AJ69" i="20"/>
  <c r="AJ68" i="20"/>
  <c r="AJ67" i="20"/>
  <c r="AJ66" i="20"/>
  <c r="AJ65" i="20"/>
  <c r="AJ64" i="20"/>
  <c r="AJ63" i="20"/>
  <c r="AJ62" i="20"/>
  <c r="Z71" i="20"/>
  <c r="Z69" i="20"/>
  <c r="Z68" i="20"/>
  <c r="Z67" i="20"/>
  <c r="Z66" i="20"/>
  <c r="Z65" i="20"/>
  <c r="Z64" i="20"/>
  <c r="Z63" i="20"/>
  <c r="Z62" i="20"/>
  <c r="AK50" i="20"/>
  <c r="B106" i="20"/>
  <c r="B105" i="20"/>
  <c r="B104" i="20"/>
  <c r="B103" i="20"/>
  <c r="AK51" i="20"/>
  <c r="AK49" i="20"/>
  <c r="B73" i="78" l="1"/>
  <c r="B72" i="78"/>
  <c r="B18" i="78"/>
  <c r="B71" i="78"/>
  <c r="B74" i="78"/>
  <c r="B70" i="78"/>
  <c r="B77" i="78"/>
  <c r="B97" i="20"/>
  <c r="B96" i="20"/>
  <c r="B95" i="20"/>
  <c r="B94" i="20"/>
  <c r="B93" i="20"/>
  <c r="B92" i="20"/>
  <c r="B90" i="20"/>
  <c r="B91" i="20"/>
  <c r="B88" i="20"/>
  <c r="B89" i="20"/>
  <c r="B87" i="20"/>
  <c r="P33" i="20"/>
  <c r="P32" i="20"/>
  <c r="P31" i="20"/>
  <c r="P30" i="20" l="1"/>
  <c r="B88" i="82" l="1"/>
  <c r="I16" i="73" l="1"/>
  <c r="I15" i="73"/>
  <c r="I14" i="73"/>
  <c r="I13" i="73"/>
  <c r="I12" i="73"/>
  <c r="I11" i="73"/>
  <c r="I10" i="73"/>
  <c r="I9" i="73"/>
  <c r="I8" i="73"/>
  <c r="H15" i="20"/>
  <c r="H16" i="20" s="1"/>
  <c r="H16" i="73" l="1"/>
  <c r="G16" i="73"/>
  <c r="F16" i="73"/>
  <c r="E16" i="73"/>
  <c r="H15" i="73"/>
  <c r="G15" i="73"/>
  <c r="F15" i="73"/>
  <c r="E15" i="73"/>
  <c r="H14" i="73"/>
  <c r="G14" i="73"/>
  <c r="F14" i="73"/>
  <c r="E14" i="73"/>
  <c r="H13" i="73"/>
  <c r="G13" i="73"/>
  <c r="F13" i="73"/>
  <c r="E13" i="73"/>
  <c r="H12" i="73"/>
  <c r="G12" i="73"/>
  <c r="F12" i="73"/>
  <c r="E12" i="73"/>
  <c r="H11" i="73"/>
  <c r="G11" i="73"/>
  <c r="F11" i="73"/>
  <c r="E11" i="73"/>
  <c r="H10" i="73"/>
  <c r="G10" i="73"/>
  <c r="F10" i="73"/>
  <c r="E10" i="73"/>
  <c r="H9" i="73"/>
  <c r="G9" i="73"/>
  <c r="F9" i="73"/>
  <c r="E9" i="73"/>
  <c r="E8" i="73"/>
  <c r="H8" i="73"/>
  <c r="G8" i="73"/>
  <c r="F8" i="73"/>
  <c r="AK46" i="20" l="1"/>
  <c r="B97" i="82" l="1"/>
  <c r="B99" i="82"/>
  <c r="B98" i="82"/>
  <c r="B96" i="82"/>
  <c r="B95" i="82"/>
  <c r="B94" i="82"/>
  <c r="B93" i="82"/>
  <c r="B92" i="82"/>
  <c r="B91" i="82"/>
  <c r="B90" i="82"/>
  <c r="B89" i="82"/>
  <c r="AR30" i="79"/>
  <c r="AO30" i="79"/>
  <c r="AL30" i="79"/>
  <c r="AI30" i="79"/>
  <c r="Z30" i="79"/>
  <c r="W30" i="79"/>
  <c r="T30" i="79"/>
  <c r="Q30" i="79"/>
  <c r="B81" i="79"/>
  <c r="B74" i="79"/>
  <c r="B80" i="79"/>
  <c r="B79" i="79"/>
  <c r="B78" i="79"/>
  <c r="B77" i="79"/>
  <c r="B76" i="79"/>
  <c r="B75" i="79"/>
  <c r="B73" i="79"/>
  <c r="B72" i="79"/>
  <c r="B71" i="79"/>
  <c r="B109" i="20"/>
  <c r="B66" i="79" l="1"/>
  <c r="B87" i="78" l="1"/>
  <c r="B86" i="78"/>
  <c r="B85" i="78"/>
  <c r="B84" i="78"/>
  <c r="B83" i="78"/>
  <c r="B82" i="78"/>
  <c r="B81" i="78"/>
  <c r="B80" i="78"/>
  <c r="B79" i="78"/>
  <c r="B78" i="78"/>
  <c r="B76" i="78"/>
  <c r="B75" i="78"/>
  <c r="B65" i="78" l="1"/>
  <c r="B83" i="82"/>
  <c r="K16" i="78"/>
  <c r="B108" i="20" l="1"/>
  <c r="B107" i="20"/>
  <c r="B100" i="20"/>
  <c r="B99" i="20"/>
  <c r="B98" i="20"/>
  <c r="B102" i="20"/>
  <c r="B101" i="20"/>
  <c r="B86" i="20"/>
  <c r="B85" i="20"/>
  <c r="B85" i="19"/>
  <c r="B84" i="19"/>
  <c r="B83" i="19"/>
  <c r="B82" i="19"/>
  <c r="B81" i="19"/>
  <c r="B79" i="19"/>
  <c r="B78" i="19"/>
  <c r="B77" i="19"/>
  <c r="B79" i="20" l="1"/>
  <c r="J26" i="78"/>
  <c r="H11" i="85" l="1"/>
  <c r="F11" i="85"/>
  <c r="H10" i="85"/>
  <c r="F10" i="85"/>
  <c r="H9" i="85"/>
  <c r="F9" i="85"/>
  <c r="H8" i="85"/>
  <c r="F8" i="85"/>
  <c r="H7" i="85"/>
  <c r="F7" i="85"/>
  <c r="H6" i="85"/>
  <c r="F6" i="85"/>
  <c r="H5" i="85"/>
  <c r="F5" i="85"/>
  <c r="H12" i="85"/>
  <c r="F12" i="85"/>
  <c r="H15" i="87" l="1"/>
  <c r="N19" i="84" s="1"/>
  <c r="AB19" i="84" s="1"/>
  <c r="AO79" i="87"/>
  <c r="Z53" i="87"/>
  <c r="Z52" i="87"/>
  <c r="Z51" i="87"/>
  <c r="Z50" i="87"/>
  <c r="Z49" i="87"/>
  <c r="Z48" i="87"/>
  <c r="Z47" i="87"/>
  <c r="Z46" i="87"/>
  <c r="Z45" i="87"/>
  <c r="X41" i="87"/>
  <c r="AB32" i="87"/>
  <c r="X37" i="87" s="1"/>
  <c r="AB30" i="87"/>
  <c r="Z45" i="82"/>
  <c r="Z53" i="82"/>
  <c r="Z52" i="82"/>
  <c r="Z51" i="82"/>
  <c r="Z50" i="82"/>
  <c r="Z49" i="82"/>
  <c r="Z48" i="82"/>
  <c r="Z47" i="82"/>
  <c r="Z46" i="82"/>
  <c r="X41" i="82"/>
  <c r="AB32" i="82"/>
  <c r="AB30" i="82"/>
  <c r="AB34" i="87" l="1"/>
  <c r="Z55" i="82"/>
  <c r="N17" i="84"/>
  <c r="B94" i="87"/>
  <c r="B93" i="87"/>
  <c r="B95" i="87"/>
  <c r="B92" i="87"/>
  <c r="B97" i="87"/>
  <c r="B91" i="87"/>
  <c r="B99" i="87"/>
  <c r="B90" i="87"/>
  <c r="B98" i="87"/>
  <c r="B89" i="87"/>
  <c r="B96" i="87"/>
  <c r="B88" i="87"/>
  <c r="Z55" i="87"/>
  <c r="AB34" i="82"/>
  <c r="AD52" i="87"/>
  <c r="AD50" i="87"/>
  <c r="AD48" i="87"/>
  <c r="AD46" i="87"/>
  <c r="AD51" i="87"/>
  <c r="AD45" i="87"/>
  <c r="AD47" i="87"/>
  <c r="AD49" i="87"/>
  <c r="X37" i="82"/>
  <c r="AD46" i="82" s="1"/>
  <c r="G6" i="85" s="1"/>
  <c r="K14" i="78"/>
  <c r="H26" i="20"/>
  <c r="AK49" i="78"/>
  <c r="AK48" i="78"/>
  <c r="AK43" i="78"/>
  <c r="AK45" i="78"/>
  <c r="AK44" i="78"/>
  <c r="AK42" i="78"/>
  <c r="AK47" i="78"/>
  <c r="AK41" i="78"/>
  <c r="AK47" i="20"/>
  <c r="L35" i="20"/>
  <c r="J28" i="78"/>
  <c r="D27" i="92" l="1"/>
  <c r="L27" i="92"/>
  <c r="F27" i="92"/>
  <c r="N27" i="92"/>
  <c r="J27" i="92"/>
  <c r="H27" i="92"/>
  <c r="P27" i="92"/>
  <c r="R27" i="92"/>
  <c r="D12" i="92"/>
  <c r="L12" i="92"/>
  <c r="F12" i="92"/>
  <c r="N12" i="92"/>
  <c r="R12" i="92"/>
  <c r="H12" i="92"/>
  <c r="P12" i="92"/>
  <c r="J12" i="92"/>
  <c r="B83" i="87"/>
  <c r="I12" i="85"/>
  <c r="V39" i="84"/>
  <c r="I9" i="85"/>
  <c r="V36" i="84"/>
  <c r="I6" i="85"/>
  <c r="V33" i="84"/>
  <c r="I11" i="85"/>
  <c r="V38" i="84"/>
  <c r="I7" i="85"/>
  <c r="V34" i="84"/>
  <c r="I8" i="85"/>
  <c r="V35" i="84"/>
  <c r="I5" i="85"/>
  <c r="V32" i="84"/>
  <c r="I10" i="85"/>
  <c r="V37" i="84"/>
  <c r="AD45" i="82"/>
  <c r="G5" i="85" s="1"/>
  <c r="AD49" i="82"/>
  <c r="G9" i="85" s="1"/>
  <c r="AD52" i="82"/>
  <c r="G12" i="85" s="1"/>
  <c r="AD48" i="82"/>
  <c r="G8" i="85" s="1"/>
  <c r="AD50" i="82"/>
  <c r="G10" i="85" s="1"/>
  <c r="AD47" i="82"/>
  <c r="G7" i="85" s="1"/>
  <c r="AD51" i="82"/>
  <c r="G11" i="85" s="1"/>
  <c r="AR32" i="79"/>
  <c r="AR34" i="79" s="1"/>
  <c r="AO32" i="79"/>
  <c r="AO34" i="79" s="1"/>
  <c r="AL32" i="79"/>
  <c r="AI32" i="79"/>
  <c r="Z32" i="79"/>
  <c r="W32" i="79"/>
  <c r="T32" i="79"/>
  <c r="Q32" i="79"/>
  <c r="N32" i="79"/>
  <c r="AW49" i="79"/>
  <c r="AW48" i="79"/>
  <c r="AW47" i="79"/>
  <c r="AW46" i="79"/>
  <c r="AW45" i="79"/>
  <c r="W19" i="79"/>
  <c r="W20" i="79" s="1"/>
  <c r="AX55" i="79" l="1"/>
  <c r="AR36" i="79"/>
  <c r="AY55" i="79" s="1"/>
  <c r="AX54" i="79"/>
  <c r="AO36" i="79"/>
  <c r="AY54" i="79" s="1"/>
  <c r="N34" i="79"/>
  <c r="N36" i="79" s="1"/>
  <c r="Q34" i="79"/>
  <c r="Q36" i="79" s="1"/>
  <c r="AI34" i="79"/>
  <c r="AI36" i="79" s="1"/>
  <c r="Z34" i="79"/>
  <c r="Z36" i="79" s="1"/>
  <c r="T34" i="79"/>
  <c r="T36" i="79" s="1"/>
  <c r="AL34" i="79"/>
  <c r="AL36" i="79" s="1"/>
  <c r="W34" i="79"/>
  <c r="W36" i="79" s="1"/>
  <c r="AX47" i="79"/>
  <c r="W21" i="79"/>
  <c r="AX45" i="79" l="1"/>
  <c r="AX49" i="79"/>
  <c r="AX48" i="79"/>
  <c r="AX46" i="79"/>
  <c r="AY45" i="79"/>
  <c r="AY49" i="79"/>
  <c r="AY48" i="79"/>
  <c r="AY46" i="79"/>
  <c r="AY47" i="79"/>
  <c r="N23" i="84" l="1"/>
  <c r="R39" i="84"/>
  <c r="R30" i="84"/>
  <c r="J39" i="84"/>
  <c r="J38" i="84"/>
  <c r="J37" i="84"/>
  <c r="J36" i="84"/>
  <c r="J35" i="84"/>
  <c r="J34" i="84"/>
  <c r="J33" i="84"/>
  <c r="J32" i="84"/>
  <c r="F32" i="84"/>
  <c r="F30" i="84"/>
  <c r="F39" i="84"/>
  <c r="F38" i="84"/>
  <c r="F37" i="84"/>
  <c r="F36" i="84"/>
  <c r="F35" i="84"/>
  <c r="F34" i="84"/>
  <c r="F33" i="84"/>
  <c r="E4" i="85"/>
  <c r="D5" i="85"/>
  <c r="E5" i="85" s="1"/>
  <c r="X5" i="85"/>
  <c r="L5" i="85" s="1"/>
  <c r="Y5" i="85"/>
  <c r="M5" i="85" s="1"/>
  <c r="D6" i="85"/>
  <c r="E6" i="85" s="1"/>
  <c r="X6" i="85"/>
  <c r="L6" i="85" s="1"/>
  <c r="Y6" i="85"/>
  <c r="M6" i="85" s="1"/>
  <c r="D7" i="85"/>
  <c r="E7" i="85" s="1"/>
  <c r="X7" i="85"/>
  <c r="L7" i="85" s="1"/>
  <c r="Y7" i="85"/>
  <c r="M7" i="85" s="1"/>
  <c r="D8" i="85"/>
  <c r="E8" i="85" s="1"/>
  <c r="X8" i="85"/>
  <c r="L8" i="85" s="1"/>
  <c r="Y8" i="85"/>
  <c r="M8" i="85" s="1"/>
  <c r="D9" i="85"/>
  <c r="E9" i="85" s="1"/>
  <c r="X9" i="85"/>
  <c r="L9" i="85" s="1"/>
  <c r="Y9" i="85"/>
  <c r="M9" i="85" s="1"/>
  <c r="D10" i="85"/>
  <c r="E10" i="85" s="1"/>
  <c r="X10" i="85"/>
  <c r="L10" i="85" s="1"/>
  <c r="Y10" i="85"/>
  <c r="M10" i="85" s="1"/>
  <c r="D11" i="85"/>
  <c r="E11" i="85" s="1"/>
  <c r="X11" i="85"/>
  <c r="L11" i="85" s="1"/>
  <c r="Y11" i="85"/>
  <c r="M11" i="85" s="1"/>
  <c r="D12" i="85"/>
  <c r="E12" i="85" s="1"/>
  <c r="X12" i="85"/>
  <c r="L12" i="85" s="1"/>
  <c r="Y12" i="85"/>
  <c r="M12" i="85" s="1"/>
  <c r="AO63" i="84"/>
  <c r="R36" i="84"/>
  <c r="R34" i="84"/>
  <c r="R32" i="84"/>
  <c r="AB23" i="84" l="1"/>
  <c r="J30" i="84"/>
  <c r="N37" i="84" s="1"/>
  <c r="R33" i="84"/>
  <c r="V30" i="84"/>
  <c r="Z34" i="84" s="1"/>
  <c r="K7" i="85" s="1"/>
  <c r="R37" i="84"/>
  <c r="N21" i="84"/>
  <c r="R38" i="84"/>
  <c r="Z38" i="84" s="1"/>
  <c r="K11" i="85" s="1"/>
  <c r="R35" i="84"/>
  <c r="AB21" i="84" l="1"/>
  <c r="J10" i="85"/>
  <c r="N38" i="84"/>
  <c r="N33" i="84"/>
  <c r="N32" i="84"/>
  <c r="Z35" i="84"/>
  <c r="K8" i="85" s="1"/>
  <c r="Z37" i="84"/>
  <c r="K10" i="85" s="1"/>
  <c r="N34" i="84"/>
  <c r="N36" i="84"/>
  <c r="N35" i="84"/>
  <c r="Z32" i="84"/>
  <c r="K5" i="85" s="1"/>
  <c r="Z39" i="84"/>
  <c r="K12" i="85" s="1"/>
  <c r="Z36" i="84"/>
  <c r="K9" i="85" s="1"/>
  <c r="Z33" i="84"/>
  <c r="K6" i="85" s="1"/>
  <c r="N39" i="84"/>
  <c r="AO79" i="82"/>
  <c r="AH38" i="84"/>
  <c r="AH37" i="84"/>
  <c r="AH36" i="84"/>
  <c r="AH35" i="84"/>
  <c r="AH34" i="84"/>
  <c r="AH33" i="84"/>
  <c r="AH32" i="84"/>
  <c r="AD32" i="84"/>
  <c r="AK53" i="20"/>
  <c r="AK48" i="20"/>
  <c r="AK42" i="20"/>
  <c r="AK41" i="20"/>
  <c r="J6" i="85" l="1"/>
  <c r="J11" i="85"/>
  <c r="J8" i="85"/>
  <c r="J9" i="85"/>
  <c r="J12" i="85"/>
  <c r="J7" i="85"/>
  <c r="J5" i="85"/>
  <c r="AD33" i="84"/>
  <c r="AD37" i="84"/>
  <c r="AD36" i="84"/>
  <c r="AD35" i="84"/>
  <c r="AD39" i="84"/>
  <c r="AD34" i="84"/>
  <c r="AD38" i="84"/>
  <c r="AH39" i="84"/>
  <c r="AB17" i="84"/>
  <c r="H17" i="20" l="1"/>
  <c r="AU62" i="79" l="1"/>
  <c r="AO61" i="78" l="1"/>
  <c r="C10" i="36"/>
  <c r="C9" i="36"/>
  <c r="C8" i="36"/>
  <c r="C7" i="36"/>
  <c r="V36" i="20" l="1"/>
  <c r="C6" i="36" l="1"/>
  <c r="C5" i="36"/>
  <c r="C4" i="36"/>
  <c r="C3" i="36" l="1"/>
  <c r="C2" i="36"/>
  <c r="U39" i="19" l="1"/>
  <c r="B80" i="19" s="1"/>
  <c r="B72" i="19" s="1"/>
  <c r="C24" i="60"/>
  <c r="AB6" i="85" l="1"/>
  <c r="AA6" i="85"/>
  <c r="H14" i="20"/>
  <c r="H13" i="20"/>
  <c r="AA33" i="19" l="1"/>
</calcChain>
</file>

<file path=xl/comments1.xml><?xml version="1.0" encoding="utf-8"?>
<comments xmlns="http://schemas.openxmlformats.org/spreadsheetml/2006/main">
  <authors>
    <author>Ala R Abbas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Ala R Abbas:</t>
        </r>
        <r>
          <rPr>
            <sz val="8"/>
            <color indexed="81"/>
            <rFont val="Tahoma"/>
            <family val="2"/>
          </rPr>
          <t xml:space="preserve">
Do not delete</t>
        </r>
      </text>
    </comment>
  </commentList>
</comments>
</file>

<file path=xl/sharedStrings.xml><?xml version="1.0" encoding="utf-8"?>
<sst xmlns="http://schemas.openxmlformats.org/spreadsheetml/2006/main" count="2310" uniqueCount="1689">
  <si>
    <t>Name:</t>
  </si>
  <si>
    <t>Title:</t>
  </si>
  <si>
    <t>Company:</t>
  </si>
  <si>
    <t>Address:</t>
  </si>
  <si>
    <t>City:</t>
  </si>
  <si>
    <t>State:</t>
  </si>
  <si>
    <t>Zip:</t>
  </si>
  <si>
    <t>Fax:</t>
  </si>
  <si>
    <t>County:</t>
  </si>
  <si>
    <t>Location:</t>
  </si>
  <si>
    <t>Sieve</t>
  </si>
  <si>
    <t>GRAPH DATA</t>
  </si>
  <si>
    <t>SPECIFICATION</t>
  </si>
  <si>
    <t>SIEVE</t>
  </si>
  <si>
    <t>SIEVE (in.)</t>
  </si>
  <si>
    <t>0.45 POWER</t>
  </si>
  <si>
    <t>3/8" (9.5)</t>
  </si>
  <si>
    <t>#4 (4.75)</t>
  </si>
  <si>
    <t>#8 (2.36)</t>
  </si>
  <si>
    <t>#16 (1.18)</t>
  </si>
  <si>
    <t>#30 (0.6)</t>
  </si>
  <si>
    <t>#50 (0.3)</t>
  </si>
  <si>
    <t>#100 (0.15)</t>
  </si>
  <si>
    <t>1600 West Broad Street</t>
  </si>
  <si>
    <t>Columbus, Ohio 43223-1928</t>
  </si>
  <si>
    <t>No</t>
  </si>
  <si>
    <t>Asphalt Materials Section</t>
  </si>
  <si>
    <t>Testing Laboratory</t>
  </si>
  <si>
    <t>Phone:</t>
  </si>
  <si>
    <t>Cell:</t>
  </si>
  <si>
    <t>Routes:</t>
  </si>
  <si>
    <t>ODOT SPEC. BAND</t>
  </si>
  <si>
    <t>#200 (0.075)</t>
  </si>
  <si>
    <t>Office of Materials Management</t>
  </si>
  <si>
    <t>-</t>
  </si>
  <si>
    <t>Mix Type</t>
  </si>
  <si>
    <t>Portage</t>
  </si>
  <si>
    <t>04017-01</t>
  </si>
  <si>
    <t>04339-01</t>
  </si>
  <si>
    <t>Project ID:</t>
  </si>
  <si>
    <t>District:</t>
  </si>
  <si>
    <t xml:space="preserve">To:   </t>
  </si>
  <si>
    <t>Ohio Department of Transportation</t>
  </si>
  <si>
    <t xml:space="preserve">Submitted by:   </t>
  </si>
  <si>
    <t>E-mail:</t>
  </si>
  <si>
    <t xml:space="preserve">Project info:   </t>
  </si>
  <si>
    <t>Project ID</t>
  </si>
  <si>
    <t>SS-800 Date</t>
  </si>
  <si>
    <t>Spec. Year</t>
  </si>
  <si>
    <t>Item Code</t>
  </si>
  <si>
    <t xml:space="preserve">Preparation date:   </t>
  </si>
  <si>
    <t>ITEM</t>
  </si>
  <si>
    <t>IDESCRL</t>
  </si>
  <si>
    <t>421E10010</t>
  </si>
  <si>
    <t>MICROSURFACING, SURFACE COURSE</t>
  </si>
  <si>
    <t>421E10011</t>
  </si>
  <si>
    <t>MICROSURFACING, SURFACE COURSE, AS PER PLAN</t>
  </si>
  <si>
    <t>421E10020</t>
  </si>
  <si>
    <t>MICROSURFACING, LEVELING COURSE</t>
  </si>
  <si>
    <t>421E10021</t>
  </si>
  <si>
    <t>MICROSURFACING, LEVELING COURSE, AS PER PLAN</t>
  </si>
  <si>
    <t>421E10030</t>
  </si>
  <si>
    <t>MICROSURFACING, RUT FILL COURSE</t>
  </si>
  <si>
    <t>881E10000</t>
  </si>
  <si>
    <t>MICROSURFACING WITH WARRANTY, SINGLE COURSE</t>
  </si>
  <si>
    <t>881E10001</t>
  </si>
  <si>
    <t>MICROSURFACING WITH WARRANTY, SINGLE COURSE, AS PER PLAN</t>
  </si>
  <si>
    <t>881E20000</t>
  </si>
  <si>
    <t>MICROSURFACING WITH WARRANTY, MULTIPLE COURSE</t>
  </si>
  <si>
    <t>881E20001</t>
  </si>
  <si>
    <t>MICROSURFACING WITH WARRANTY, MULTIPLE COURSE, AS PER PLAN</t>
  </si>
  <si>
    <t xml:space="preserve">Item Code:   </t>
  </si>
  <si>
    <t>As Per Plan?</t>
  </si>
  <si>
    <t>Spec. Item</t>
  </si>
  <si>
    <t>Prodr Supp Nm</t>
  </si>
  <si>
    <t>Prodr Supp Cd</t>
  </si>
  <si>
    <t>AJAX ASPHALT TERMINAL @ DETROIT</t>
  </si>
  <si>
    <t>05713-01</t>
  </si>
  <si>
    <t>ASPHALT MATERIALS @ COLUMBUS</t>
  </si>
  <si>
    <t>05513-02</t>
  </si>
  <si>
    <t>ASPHALT MATERIALS @ EDISON</t>
  </si>
  <si>
    <t>05612-02</t>
  </si>
  <si>
    <t>ASPHALT MATERIALS @ INDIANAPOLIS</t>
  </si>
  <si>
    <t>05716-01</t>
  </si>
  <si>
    <t>ASPHALT MATERIALS @ MARIETTA</t>
  </si>
  <si>
    <t>05508-01</t>
  </si>
  <si>
    <t>ASPHALT MATERIALS @ OREGON</t>
  </si>
  <si>
    <t>05510-01</t>
  </si>
  <si>
    <t>BENCHMARK DISTRIBUTION @ WATERLOO, IN</t>
  </si>
  <si>
    <t>05530-02</t>
  </si>
  <si>
    <t>ERIE MATERIALS TERMINAL @ SANDUSKY</t>
  </si>
  <si>
    <t>05717-01</t>
  </si>
  <si>
    <t>GCAT @ NORTH BEND</t>
  </si>
  <si>
    <t>05602-02</t>
  </si>
  <si>
    <t>GERKEN MATERIALS @ BLUFFTON</t>
  </si>
  <si>
    <t>05609-01</t>
  </si>
  <si>
    <t>INPUT ACTUAL P/S CD</t>
  </si>
  <si>
    <t>04302-01</t>
  </si>
  <si>
    <t>INTERSTATE ASPHALT - AMEROPAN TERMINAL @ CHICAGO</t>
  </si>
  <si>
    <t>05627-01</t>
  </si>
  <si>
    <t>INTERSTATE ASPHALT - BELL OIL TERMINAL @ CHICAGO</t>
  </si>
  <si>
    <t>05712-01</t>
  </si>
  <si>
    <t>K-TECH SPECIALTY COATINGS @ ASHLEY, IN</t>
  </si>
  <si>
    <t>05714-01</t>
  </si>
  <si>
    <t>KOKOSING MATERIALS @ MANSFIELD</t>
  </si>
  <si>
    <t>05703-01</t>
  </si>
  <si>
    <t>KOKOSING MATERIALS @ WHEELERSBURG</t>
  </si>
  <si>
    <t>06016-01</t>
  </si>
  <si>
    <t>LAKETON REFINING/ASPHALT MATERIALS @ LAKETON, IN</t>
  </si>
  <si>
    <t>05525-02</t>
  </si>
  <si>
    <t>MARATHON PETROLEUM - BIG SANDY @ CATLETTSBURG</t>
  </si>
  <si>
    <t>05511-01</t>
  </si>
  <si>
    <t>MARATHON PETROLEUM @ CANTON</t>
  </si>
  <si>
    <t>05501-01</t>
  </si>
  <si>
    <t>MARATHON PETROLEUM @ CATLETTSBURG</t>
  </si>
  <si>
    <t>05500-01</t>
  </si>
  <si>
    <t>MARATHON PETROLEUM @ CLEVELAND</t>
  </si>
  <si>
    <t>05528-01</t>
  </si>
  <si>
    <t>MARATHON PETROLEUM @ DETROIT</t>
  </si>
  <si>
    <t>05529-01</t>
  </si>
  <si>
    <t>MARATHON PETROLEUM @ FLOREFFE, PA</t>
  </si>
  <si>
    <t>05504-01</t>
  </si>
  <si>
    <t>MARATHON PETROLEUM @ NORTH BEND</t>
  </si>
  <si>
    <t>05505-01</t>
  </si>
  <si>
    <t>MGQ TERMINAL @ TIFFIN</t>
  </si>
  <si>
    <t>05715-01</t>
  </si>
  <si>
    <t>MICHIGAN PAVING &amp; MATERIALS @ MONROE, MI</t>
  </si>
  <si>
    <t>05704-02</t>
  </si>
  <si>
    <t>PHILLIPS 66 COMPANY @ JEFFERSONVILLE</t>
  </si>
  <si>
    <t>05625-01</t>
  </si>
  <si>
    <t>S&amp;S TERMINAL @ RAYLAND</t>
  </si>
  <si>
    <t>05535-01</t>
  </si>
  <si>
    <t>SENECA PETROLEUM @ PORTAGE, IN</t>
  </si>
  <si>
    <t>05700-01</t>
  </si>
  <si>
    <t>SENECA PETROLEUM @ TOLEDO - FRONT STREET</t>
  </si>
  <si>
    <t>05623-01</t>
  </si>
  <si>
    <t>SENECA PETROLEUM @ TOLEDO - WOODVILLE ROAD</t>
  </si>
  <si>
    <t>05532-01</t>
  </si>
  <si>
    <t>SHELLY LIQUIDS @ CLEVELAND</t>
  </si>
  <si>
    <t>05582-01</t>
  </si>
  <si>
    <t>SHELLY LIQUIDS @ GALLIPOLIS</t>
  </si>
  <si>
    <t>05527-01</t>
  </si>
  <si>
    <t>SHELLY LIQUIDS @ TOLEDO</t>
  </si>
  <si>
    <t>05534-01</t>
  </si>
  <si>
    <t>SUIT-KOTE @ JAMESTOWN, NY</t>
  </si>
  <si>
    <t>05718-01</t>
  </si>
  <si>
    <t>SUIT-KOTE @ MEADVILLE, PA</t>
  </si>
  <si>
    <t>05624-01</t>
  </si>
  <si>
    <t>TERRY MATERIALS @ HAMILTON</t>
  </si>
  <si>
    <t>05536-01</t>
  </si>
  <si>
    <t>TERRY MATERIALS-BUCKEYE TERMINAL @ CINCINNATI</t>
  </si>
  <si>
    <t>05533-02</t>
  </si>
  <si>
    <t>TRUMBULL ASPHALT/OWENS CORNING @ SUMMIT, IL</t>
  </si>
  <si>
    <t>05574-01</t>
  </si>
  <si>
    <t>UNITED REFINING @ WARREN, PA</t>
  </si>
  <si>
    <t>05540-01</t>
  </si>
  <si>
    <t>WARDEN MODIFIED ASPHALT @ MERCER, PA</t>
  </si>
  <si>
    <t>05541-01</t>
  </si>
  <si>
    <t>●</t>
  </si>
  <si>
    <t>Natural Sand</t>
  </si>
  <si>
    <t>Crushed Gravel</t>
  </si>
  <si>
    <t>Limestone</t>
  </si>
  <si>
    <t>1</t>
  </si>
  <si>
    <t>3</t>
  </si>
  <si>
    <t>4</t>
  </si>
  <si>
    <t>5</t>
  </si>
  <si>
    <t>ACBF Slag</t>
  </si>
  <si>
    <t>6</t>
  </si>
  <si>
    <t>Natural Gravel</t>
  </si>
  <si>
    <t>Fine Aggregate Types</t>
  </si>
  <si>
    <t>Fine Aggregate Sizes</t>
  </si>
  <si>
    <t>Fine Aggregates</t>
  </si>
  <si>
    <t>Specification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</si>
  <si>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</si>
  <si>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</si>
  <si>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</si>
  <si>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</si>
  <si>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</si>
  <si>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</si>
  <si>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</si>
  <si>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</si>
  <si>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</si>
  <si>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</si>
  <si>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</si>
  <si>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</si>
  <si>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</si>
  <si>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</si>
  <si>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</si>
  <si>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</si>
  <si>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</si>
  <si>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</si>
  <si>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</si>
  <si>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</si>
  <si>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</si>
  <si>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</si>
  <si>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</si>
  <si>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</si>
  <si>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</si>
  <si>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</si>
  <si>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</si>
  <si>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</si>
  <si>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</si>
  <si>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</si>
  <si>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</si>
  <si>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</si>
  <si>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</si>
  <si>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</si>
  <si>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</si>
  <si>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</si>
  <si>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</si>
  <si>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</si>
  <si>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</si>
  <si>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</si>
  <si>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</si>
  <si>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</si>
  <si>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</si>
  <si>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</si>
  <si>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</si>
  <si>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</si>
  <si>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</si>
  <si>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</si>
  <si>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</si>
  <si>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</si>
  <si>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</si>
  <si>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</si>
  <si>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</si>
  <si>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</si>
  <si>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</si>
  <si>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</si>
  <si>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</si>
  <si>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</si>
  <si>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</si>
  <si>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</si>
  <si>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</si>
  <si>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</si>
  <si>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</si>
  <si>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</si>
  <si>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</si>
  <si>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</si>
  <si>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</si>
  <si>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</si>
  <si>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</si>
  <si>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</si>
  <si>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</si>
  <si>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</si>
  <si>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</si>
  <si>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</si>
  <si>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</si>
  <si>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</si>
  <si>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</si>
  <si>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</si>
  <si>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</si>
  <si>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</si>
  <si>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</si>
  <si>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</si>
  <si>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</si>
  <si>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</si>
  <si>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</si>
  <si>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</si>
  <si>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</si>
  <si>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County</t>
  </si>
  <si>
    <t>District</t>
  </si>
  <si>
    <t>09</t>
  </si>
  <si>
    <t>01</t>
  </si>
  <si>
    <t>03</t>
  </si>
  <si>
    <t>04</t>
  </si>
  <si>
    <t>10</t>
  </si>
  <si>
    <t>07</t>
  </si>
  <si>
    <t>11</t>
  </si>
  <si>
    <t>08</t>
  </si>
  <si>
    <t>05</t>
  </si>
  <si>
    <t>12</t>
  </si>
  <si>
    <t>06</t>
  </si>
  <si>
    <t>02</t>
  </si>
  <si>
    <t>Districts</t>
  </si>
  <si>
    <t>Counties</t>
  </si>
  <si>
    <t>5K-YOUNGSTOWN (04393-01)</t>
  </si>
  <si>
    <t>04393-01</t>
  </si>
  <si>
    <t>ALBERT EXCAVATING-COSHOCTON (04432-01)</t>
  </si>
  <si>
    <t>04432-01</t>
  </si>
  <si>
    <t>ALLEGA-CLEVELAND (05152-01)</t>
  </si>
  <si>
    <t>05152-01</t>
  </si>
  <si>
    <t>ALLEGA-PAINESVILLE (05150-01)</t>
  </si>
  <si>
    <t>05150-01</t>
  </si>
  <si>
    <t>ALLEGA-VALLEY VIEW-1 (05151-01)</t>
  </si>
  <si>
    <t>05151-01</t>
  </si>
  <si>
    <t>ALLEGHENY-HARRISVILLE,PA (04385-01)</t>
  </si>
  <si>
    <t>04385-01</t>
  </si>
  <si>
    <t>ALLEGHENY-SLIPPERY ROCK,PA (04376-01)</t>
  </si>
  <si>
    <t>04376-01</t>
  </si>
  <si>
    <t>ALLIED CORP-MASSILLON (04339-01)</t>
  </si>
  <si>
    <t>ALLIED CORP-MASSILLON (4339A-01)</t>
  </si>
  <si>
    <t>4339A-01</t>
  </si>
  <si>
    <t>ALLIED CORP-PETERSBURG (04372-01)</t>
  </si>
  <si>
    <t>04372-01</t>
  </si>
  <si>
    <t>AMERICAN S&amp;G#4-MASSILLON (04303-01)</t>
  </si>
  <si>
    <t>04303-01</t>
  </si>
  <si>
    <t>AMERICAN S&amp;G-HIGHMILL (04381-01)</t>
  </si>
  <si>
    <t>04381-01</t>
  </si>
  <si>
    <t>AMERIKOHL AGGREGATES INC. (04304-01)</t>
  </si>
  <si>
    <t>04304-01</t>
  </si>
  <si>
    <t>ARCH-BATAVIA (04791-01)</t>
  </si>
  <si>
    <t>04791-01</t>
  </si>
  <si>
    <t>AREA AGG-WOODVILLE (04163-01)</t>
  </si>
  <si>
    <t>04163-01</t>
  </si>
  <si>
    <t>AREA AGG-WOODVILLE (4163A-01)</t>
  </si>
  <si>
    <t>4163A-01</t>
  </si>
  <si>
    <t>BALLENTINE-MANTUA (04378-01)</t>
  </si>
  <si>
    <t>04378-01</t>
  </si>
  <si>
    <t>BARRETT(GR)-HARDIN (04624-01)</t>
  </si>
  <si>
    <t>04624-01</t>
  </si>
  <si>
    <t>BARRETT(LS)-SIDNEY (4623A-01)</t>
  </si>
  <si>
    <t>4623A-01</t>
  </si>
  <si>
    <t>04625-01</t>
  </si>
  <si>
    <t>4625A-01</t>
  </si>
  <si>
    <t>BARRETT-FAIRBORN (04608-01)</t>
  </si>
  <si>
    <t>04608-01</t>
  </si>
  <si>
    <t>BARRETT-FAIRBORN(CR) (4608A-01)</t>
  </si>
  <si>
    <t>4608A-01</t>
  </si>
  <si>
    <t>BARRETT-LUDLOW FALLS (04609-01)</t>
  </si>
  <si>
    <t>04609-01</t>
  </si>
  <si>
    <t>BARRETT-MEDWAY (04743-01)</t>
  </si>
  <si>
    <t>04743-01</t>
  </si>
  <si>
    <t>BARRETT-RICHMOND,IN (04747-01)</t>
  </si>
  <si>
    <t>04747-01</t>
  </si>
  <si>
    <t>BARRETT-RICHMOND,IN (4747A-01)</t>
  </si>
  <si>
    <t>4747A-01</t>
  </si>
  <si>
    <t>BARRETT-W.CARROLLTON (04613-01)</t>
  </si>
  <si>
    <t>04613-01</t>
  </si>
  <si>
    <t>BARRETT-W.CARROLLTON (4613A-01)</t>
  </si>
  <si>
    <t>4613A-01</t>
  </si>
  <si>
    <t>BARTLEY&amp;BOLIN-LAKEVILLE (05060-01)</t>
  </si>
  <si>
    <t>05060-01</t>
  </si>
  <si>
    <t>BDM RECYCLING-WARREN (04347-01)</t>
  </si>
  <si>
    <t>04347-01</t>
  </si>
  <si>
    <t>BECK S&amp;G-RAVENNA (04305-01)</t>
  </si>
  <si>
    <t>04305-01</t>
  </si>
  <si>
    <t>BELPRE S&amp;G-LITTLE HOCKING (04950-01)</t>
  </si>
  <si>
    <t>04950-01</t>
  </si>
  <si>
    <t>BELPRE S&amp;G-LITTLE HOCKING (4950A-01)</t>
  </si>
  <si>
    <t>4950A-01</t>
  </si>
  <si>
    <t>BEST SAND-CHARDON (05107-01)</t>
  </si>
  <si>
    <t>05107-01</t>
  </si>
  <si>
    <t>BLAINE AGGREGATE-ST.CLAIRSVILLE (05074-01)</t>
  </si>
  <si>
    <t>05074-01</t>
  </si>
  <si>
    <t>BLUFFTON-BLUFFTON (04001-01)</t>
  </si>
  <si>
    <t>04001-01</t>
  </si>
  <si>
    <t>BOYAS EXCAVATING-VALLEY VIEW (05146-01)</t>
  </si>
  <si>
    <t>05146-01</t>
  </si>
  <si>
    <t>BRIER HILL-YOUNGSTOWN (04348-01)</t>
  </si>
  <si>
    <t>04348-01</t>
  </si>
  <si>
    <t>BRUGMANN,O-MANTUA (04306-01)</t>
  </si>
  <si>
    <t>04306-01</t>
  </si>
  <si>
    <t>CANTON AGG-CANTON (04307-01)</t>
  </si>
  <si>
    <t>04307-01</t>
  </si>
  <si>
    <t>CANTON AGG-CANTON (4307A-01)</t>
  </si>
  <si>
    <t>4307A-01</t>
  </si>
  <si>
    <t>CARDINAL-PERRYSBURG (04158-01)</t>
  </si>
  <si>
    <t>04158-01</t>
  </si>
  <si>
    <t>CCR SAND &amp; GRAVEL (04211-01)</t>
  </si>
  <si>
    <t>04211-01</t>
  </si>
  <si>
    <t>CHRISTMAN QUARRIES-LEWISVILLE (04918-01)</t>
  </si>
  <si>
    <t>04918-01</t>
  </si>
  <si>
    <t>CITY SLAG-HERMITAGE (05153-01)</t>
  </si>
  <si>
    <t>05153-01</t>
  </si>
  <si>
    <t>CITY STONE-MILTON TWP. (04328-01)</t>
  </si>
  <si>
    <t>04328-01</t>
  </si>
  <si>
    <t>CLAY CENTER-CLAY CENTER (04116-01)</t>
  </si>
  <si>
    <t>04116-01</t>
  </si>
  <si>
    <t>CLEVELAND SLAG-CLEVELAND (05147-01)</t>
  </si>
  <si>
    <t>05147-01</t>
  </si>
  <si>
    <t>CLINTON-S.WELLSTON (4907A-01)</t>
  </si>
  <si>
    <t>4907A-01</t>
  </si>
  <si>
    <t>COATES-SPRING VALLEY (04790-01)</t>
  </si>
  <si>
    <t>04790-01</t>
  </si>
  <si>
    <t>COCHRAN TRANSPORTATION-ATHENS (04924-01)</t>
  </si>
  <si>
    <t>04924-01</t>
  </si>
  <si>
    <t>COMPLETE RESOURCES-COLUMBUS (04537-01)</t>
  </si>
  <si>
    <t>04537-01</t>
  </si>
  <si>
    <t>CON-AG-ST.MARY'S (04632-01)</t>
  </si>
  <si>
    <t>04632-01</t>
  </si>
  <si>
    <t>CUMBERLAND LS-CUMBERLAND (04418-01)</t>
  </si>
  <si>
    <t>04418-01</t>
  </si>
  <si>
    <t>CUSTAR STONE-LOWER BENCH-CUSTAR (04113-01)</t>
  </si>
  <si>
    <t>04113-01</t>
  </si>
  <si>
    <t>CUSTAR STONE-UPPER BENCH-CUSTAR (4113A-01)</t>
  </si>
  <si>
    <t>4113A-01</t>
  </si>
  <si>
    <t>D&amp;K MATLS-MOGADORE (04397-01)</t>
  </si>
  <si>
    <t>04397-01</t>
  </si>
  <si>
    <t>DSF-SHARPSVILLE (04383-01)</t>
  </si>
  <si>
    <t>04383-01</t>
  </si>
  <si>
    <t>DUFF-HUNTSVILLE (04638-01)</t>
  </si>
  <si>
    <t>04638-01</t>
  </si>
  <si>
    <t>E.FAIRFIELD-PETERSBURG (04364-01)</t>
  </si>
  <si>
    <t>04364-01</t>
  </si>
  <si>
    <t>04730-01</t>
  </si>
  <si>
    <t>ENON S&amp;G-ENON (04611-01)</t>
  </si>
  <si>
    <t>04611-01</t>
  </si>
  <si>
    <t>ERIE MATLS-SANDUSKY (04206-01)</t>
  </si>
  <si>
    <t>04206-01</t>
  </si>
  <si>
    <t>ERVIN HILL-HILLSBORO (04839-01)</t>
  </si>
  <si>
    <t>04839-01</t>
  </si>
  <si>
    <t>EVANS SAND &amp; GRAVEL (04788-01)</t>
  </si>
  <si>
    <t>04788-01</t>
  </si>
  <si>
    <t>FEIKERT-FREDERICKSBURG (05009-01)</t>
  </si>
  <si>
    <t>05009-01</t>
  </si>
  <si>
    <t>FOUREMANS-GREENVILLE (04630-01)</t>
  </si>
  <si>
    <t>04630-01</t>
  </si>
  <si>
    <t>FULTON MILL-DELTA (04147-01)</t>
  </si>
  <si>
    <t>04147-01</t>
  </si>
  <si>
    <t>FULTON MILL-DELTA (4147A-01)</t>
  </si>
  <si>
    <t>4147A-01</t>
  </si>
  <si>
    <t>GEORGETOWN S&amp;G-GEORGETOWN, PA (05001-01)</t>
  </si>
  <si>
    <t>05001-01</t>
  </si>
  <si>
    <t>GEORGETOWN S&amp;G-GEORGETOWN, PA (5001A-01)</t>
  </si>
  <si>
    <t>5001A-01</t>
  </si>
  <si>
    <t>GERKEN MATLS-WALDRON,MI (04120-01)</t>
  </si>
  <si>
    <t>04120-01</t>
  </si>
  <si>
    <t>GERKEN MATLS-WALDRON,MI (4120A-01)</t>
  </si>
  <si>
    <t>4120A-01</t>
  </si>
  <si>
    <t>GLACIAL-JONESVILE,MI (04156-01)</t>
  </si>
  <si>
    <t>04156-01</t>
  </si>
  <si>
    <t>GLACIAL-JONESVILLE,MI (4156A-01)</t>
  </si>
  <si>
    <t>4156A-01</t>
  </si>
  <si>
    <t>GS MATERIALS-CLINTON,MI (04128-01)</t>
  </si>
  <si>
    <t>04128-01</t>
  </si>
  <si>
    <t>GS MATERIALS-TECUMSEH,MI (04159-01)</t>
  </si>
  <si>
    <t>04159-01</t>
  </si>
  <si>
    <t>HANSON WAGNER-SANDUSKY (4204A-01)</t>
  </si>
  <si>
    <t>4204A-01</t>
  </si>
  <si>
    <t>HANSON-CORAOPOLIS (05049-01)</t>
  </si>
  <si>
    <t>05049-01</t>
  </si>
  <si>
    <t>HAUETER S&amp;G-NEWBURY (05110-01)</t>
  </si>
  <si>
    <t>05110-01</t>
  </si>
  <si>
    <t>HAYNES SAND &amp; GRAVEL (04035-01)</t>
  </si>
  <si>
    <t>04035-01</t>
  </si>
  <si>
    <t>HILLTOP BASIC-BUTLER,KY (04783-01)</t>
  </si>
  <si>
    <t>04783-01</t>
  </si>
  <si>
    <t>HILLTOP BASIC-BUTLER,KY (4783A-01)</t>
  </si>
  <si>
    <t>4783A-01</t>
  </si>
  <si>
    <t>HILLTOP BASIC-PATRIOT,IN (04719-01)</t>
  </si>
  <si>
    <t>04719-01</t>
  </si>
  <si>
    <t>HILLTOP BASIC-PATRIOT,IN (4719A-01)</t>
  </si>
  <si>
    <t>4719A-01</t>
  </si>
  <si>
    <t>HILLTOP-BATTLETOWN (04771-01)</t>
  </si>
  <si>
    <t>04771-01</t>
  </si>
  <si>
    <t>HOCKING VALLEY-LOGAN (04927-01)</t>
  </si>
  <si>
    <t>04927-01</t>
  </si>
  <si>
    <t>HOLMES-HOLMESVILLE (05057-01)</t>
  </si>
  <si>
    <t>05057-01</t>
  </si>
  <si>
    <t>HOLMES-HOLMESVILLE (5057A-01)</t>
  </si>
  <si>
    <t>5057A-01</t>
  </si>
  <si>
    <t>HOLMES-HOLMESVILLE (5057C-01)</t>
  </si>
  <si>
    <t>5057C-01</t>
  </si>
  <si>
    <t>HOLMES-MILLERSBURG (05017-01)</t>
  </si>
  <si>
    <t>05017-01</t>
  </si>
  <si>
    <t>HUGO SAND-KENT (04315-01)</t>
  </si>
  <si>
    <t>04315-01</t>
  </si>
  <si>
    <t>IMI-CAMBRIDGE (04792-01)</t>
  </si>
  <si>
    <t>04792-01</t>
  </si>
  <si>
    <t>04750-01</t>
  </si>
  <si>
    <t>IRVING-ANGOLA,IN (04161-01)</t>
  </si>
  <si>
    <t>04161-01</t>
  </si>
  <si>
    <t>IRVING-WOLCOTTVILE,IN (04162-01)</t>
  </si>
  <si>
    <t>04162-01</t>
  </si>
  <si>
    <t>J.D. DIVERSIFIED SERVICES, INC. (04308-01)</t>
  </si>
  <si>
    <t>04308-01</t>
  </si>
  <si>
    <t>JEFFERSON-STREETSBORO (04316-01)</t>
  </si>
  <si>
    <t>04316-01</t>
  </si>
  <si>
    <t>JONES MATERIAL (04539-01)</t>
  </si>
  <si>
    <t>04539-01</t>
  </si>
  <si>
    <t>K.C.I. S&amp;G-LOGAN (04953-01)</t>
  </si>
  <si>
    <t>04953-01</t>
  </si>
  <si>
    <t>K.C.I. S&amp;G-LOGAN (4953A-01)</t>
  </si>
  <si>
    <t>4953A-01</t>
  </si>
  <si>
    <t>KIMBLE CLAY&amp;LS-DOVER (05016-01)</t>
  </si>
  <si>
    <t>05016-01</t>
  </si>
  <si>
    <t>KIMBLE CLAY&amp;LS-E.SPARTA (05068-01)</t>
  </si>
  <si>
    <t>05068-01</t>
  </si>
  <si>
    <t>KIMBLE CLAY&amp;LS-NEW PHILLY (05070-01)</t>
  </si>
  <si>
    <t>05070-01</t>
  </si>
  <si>
    <t>KING QUARRIES,INC.-CALDWELL (04947-01)</t>
  </si>
  <si>
    <t>04947-01</t>
  </si>
  <si>
    <t>04023-01</t>
  </si>
  <si>
    <t>KIRBY-U.SANDUSKY (4023B-01)</t>
  </si>
  <si>
    <t>4023B-01</t>
  </si>
  <si>
    <t>KURTZ BROTHERS-BROOKLYN HEIGHTS (05154-01)</t>
  </si>
  <si>
    <t>05154-01</t>
  </si>
  <si>
    <t>KURTZ BROTHERS-INDEPENDENCE (05149-01)</t>
  </si>
  <si>
    <t>05149-01</t>
  </si>
  <si>
    <t>LAFARGE-LORDSTOWN (04354-01)</t>
  </si>
  <si>
    <t>04354-01</t>
  </si>
  <si>
    <t>LAFARGE-MARBLEHEAD (04105-01)</t>
  </si>
  <si>
    <t>04105-01</t>
  </si>
  <si>
    <t>LAFARGE-PRESQUE ISLE,MI (05109-01)</t>
  </si>
  <si>
    <t>05109-01</t>
  </si>
  <si>
    <t>LAFARGE-W. MIFFLIN (04363-01)</t>
  </si>
  <si>
    <t>04363-01</t>
  </si>
  <si>
    <t>04319-01</t>
  </si>
  <si>
    <t>LATHAM LS-LATHAM (04818-01)</t>
  </si>
  <si>
    <t>04818-01</t>
  </si>
  <si>
    <t>LEHIGH HANSON-ANGOLA (04139-01)</t>
  </si>
  <si>
    <t>04139-01</t>
  </si>
  <si>
    <t>LEHIGH HANSON-BLOOMVILLE (04114-01)</t>
  </si>
  <si>
    <t>04114-01</t>
  </si>
  <si>
    <t>LEHIGH HANSON-CASTALIA (4205A-01)</t>
  </si>
  <si>
    <t>4205A-01</t>
  </si>
  <si>
    <t>LEHIGH HANSON-CASTALIA (4205B-01)</t>
  </si>
  <si>
    <t>4205B-01</t>
  </si>
  <si>
    <t>LEHIGH HANSON-CASTALIA (4205C-01)</t>
  </si>
  <si>
    <t>4205C-01</t>
  </si>
  <si>
    <t>LEHIGH HANSON-CASTALIA (4205D-01)</t>
  </si>
  <si>
    <t>4205D-01</t>
  </si>
  <si>
    <t>LEHIGH HANSON-CLEVES (04772-01)</t>
  </si>
  <si>
    <t>04772-01</t>
  </si>
  <si>
    <t>LEHIGH HANSON-GRAYSON,KY (04837-01)</t>
  </si>
  <si>
    <t>04837-01</t>
  </si>
  <si>
    <t>LEHIGH HANSON-GRAYSON,KY (4837A-01)</t>
  </si>
  <si>
    <t>4837A-01</t>
  </si>
  <si>
    <t>LEHIGH HANSON-PAULDING (04002-01)</t>
  </si>
  <si>
    <t>04002-01</t>
  </si>
  <si>
    <t>LEHIGH HANSON-PAULDING (4002A-01)</t>
  </si>
  <si>
    <t>4002A-01</t>
  </si>
  <si>
    <t>LEHIGH HANSON-PEEBLES (04820-01)</t>
  </si>
  <si>
    <t>04820-01</t>
  </si>
  <si>
    <t>LEHIGH HANSON-SARGENTS (04811-01)</t>
  </si>
  <si>
    <t>04811-01</t>
  </si>
  <si>
    <t>LEHIGH HANSON-SYLVANIA (04111-01)</t>
  </si>
  <si>
    <t>04111-01</t>
  </si>
  <si>
    <t>LEHIGH HANSON-VERSAILLES,IN (04776-01)</t>
  </si>
  <si>
    <t>04776-01</t>
  </si>
  <si>
    <t>LEHIGH HANSON-WATERVILLE (04110-01)</t>
  </si>
  <si>
    <t>04110-01</t>
  </si>
  <si>
    <t>LEHIGH HANSON-WATERVILLE (4110B-01)</t>
  </si>
  <si>
    <t>4110B-01</t>
  </si>
  <si>
    <t>LEHIGH HANSON-WINCHESTER (04833-01)</t>
  </si>
  <si>
    <t>04833-01</t>
  </si>
  <si>
    <t>04025-01</t>
  </si>
  <si>
    <t>LETART-GALLIPOLIS,WV (04912-01)</t>
  </si>
  <si>
    <t>04912-01</t>
  </si>
  <si>
    <t>MARBLE CLIFF-HILLIARD (04504-01)</t>
  </si>
  <si>
    <t>04504-01</t>
  </si>
  <si>
    <t>MARTIN MARIETTA-CEDARVILLE (04737-01)</t>
  </si>
  <si>
    <t>04737-01</t>
  </si>
  <si>
    <t>MARTIN MARIETTA-ELIZABETHTOWN (04749-01)</t>
  </si>
  <si>
    <t>04749-01</t>
  </si>
  <si>
    <t>MARTIN MARIETTA-FAIRBORN (04601-01)</t>
  </si>
  <si>
    <t>04601-01</t>
  </si>
  <si>
    <t>MARTIN MARIETTA-FAIRFIELD (04703-01)</t>
  </si>
  <si>
    <t>04703-01</t>
  </si>
  <si>
    <t>MARTIN MARIETTA-FAIRFIELD (4703A-01)</t>
  </si>
  <si>
    <t>4703A-01</t>
  </si>
  <si>
    <t>MARTIN MARIETTA-FRANKLIN (04705-01)</t>
  </si>
  <si>
    <t>04705-01</t>
  </si>
  <si>
    <t>MARTIN MARIETTA-HAMILTON (04708-01)</t>
  </si>
  <si>
    <t>04708-01</t>
  </si>
  <si>
    <t>MARTIN MARIETTA-LEBANON (04780-01)</t>
  </si>
  <si>
    <t>04780-01</t>
  </si>
  <si>
    <t>MARTIN MARIETTA-PETERSBURG,KY (04782-01)</t>
  </si>
  <si>
    <t>04782-01</t>
  </si>
  <si>
    <t>MARTIN MARIETTA-PETROLEUM (04954-01)</t>
  </si>
  <si>
    <t>04954-01</t>
  </si>
  <si>
    <t>MARTIN MARIETTA-PHILLIPSBURG (04604-01)</t>
  </si>
  <si>
    <t>04604-01</t>
  </si>
  <si>
    <t>MARTIN MARIETTA-RACINE (04915-01)</t>
  </si>
  <si>
    <t>04915-01</t>
  </si>
  <si>
    <t>MARTIN MARIETTA-ROSS (04715-01)</t>
  </si>
  <si>
    <t>04715-01</t>
  </si>
  <si>
    <t>MARTIN MARIETTA-SABINA (04785-01)</t>
  </si>
  <si>
    <t>04785-01</t>
  </si>
  <si>
    <t>MARTIN MARIETTA-SPRING VALLEY (04784-01)</t>
  </si>
  <si>
    <t>04784-01</t>
  </si>
  <si>
    <t>MARTIN MARIETTA-TROY (04607-01)</t>
  </si>
  <si>
    <t>04607-01</t>
  </si>
  <si>
    <t>MARTIN MARIETTA-WOODVILLE (04106-01)</t>
  </si>
  <si>
    <t>04106-01</t>
  </si>
  <si>
    <t>MARTIN MARIETTA-XENIA (04711-01)</t>
  </si>
  <si>
    <t>04711-01</t>
  </si>
  <si>
    <t>MARTIN QUARRY-NEW PHILADELPHIA (05035-01)</t>
  </si>
  <si>
    <t>05035-01</t>
  </si>
  <si>
    <t>MAR-ZANE#14-MELCO (04212-01)</t>
  </si>
  <si>
    <t>04212-01</t>
  </si>
  <si>
    <t>MAR-ZANE#14-MELCO (4212A-01)</t>
  </si>
  <si>
    <t>4212A-01</t>
  </si>
  <si>
    <t>MAR-ZANE#16-RAVENNA (04373-01)</t>
  </si>
  <si>
    <t>04373-01</t>
  </si>
  <si>
    <t>MAR-ZANE#1-ZANESVILLE (04416-01)</t>
  </si>
  <si>
    <t>04416-01</t>
  </si>
  <si>
    <t>MAR-ZANE#8-HAYDENVILLE (04903-01)</t>
  </si>
  <si>
    <t>04903-01</t>
  </si>
  <si>
    <t>MAR-ZANE#8-HAYDENVILLE (4903A-01)</t>
  </si>
  <si>
    <t>4903A-01</t>
  </si>
  <si>
    <t>MAR-ZANE-BARBERTON (04330-01)</t>
  </si>
  <si>
    <t>04330-01</t>
  </si>
  <si>
    <t>MAR-ZANE-CHILLICOTHE (04807-01)</t>
  </si>
  <si>
    <t>04807-01</t>
  </si>
  <si>
    <t>MAR-ZANE-CHILLICOTHE (4807A-01)</t>
  </si>
  <si>
    <t>4807A-01</t>
  </si>
  <si>
    <t>MAR-ZANE-LOGAN (04959-01)</t>
  </si>
  <si>
    <t>04959-01</t>
  </si>
  <si>
    <t>MAR-ZANE-LOGAN (4959A-01)</t>
  </si>
  <si>
    <t>4959A-01</t>
  </si>
  <si>
    <t>MASSILLON MATLS-WARMINGTON RD-AKRON (04379-01)</t>
  </si>
  <si>
    <t>04379-01</t>
  </si>
  <si>
    <t>MASSILLON WASHED-NAVARRE (04322-01)</t>
  </si>
  <si>
    <t>04322-01</t>
  </si>
  <si>
    <t>MASSILLON WASHED-NAVARRE (4322A-01)</t>
  </si>
  <si>
    <t>4322A-01</t>
  </si>
  <si>
    <t>MASSILLON#2-MASSILLON (04352-01)</t>
  </si>
  <si>
    <t>04352-01</t>
  </si>
  <si>
    <t>MASSILLON#2-MASSILLON (4352A-01)</t>
  </si>
  <si>
    <t>4352A-01</t>
  </si>
  <si>
    <t>MAYSVILLE MATERIALS, LLC (04435-01)</t>
  </si>
  <si>
    <t>04435-01</t>
  </si>
  <si>
    <t>MECHANICSBURG-MECHANICSBURG (04637-01)</t>
  </si>
  <si>
    <t>04637-01</t>
  </si>
  <si>
    <t>04801-01</t>
  </si>
  <si>
    <t>MELVIN STONE CO-OAK HILL (04822-01)</t>
  </si>
  <si>
    <t>04822-01</t>
  </si>
  <si>
    <t>MELVIN-BOWERSVILLE (04777-01)</t>
  </si>
  <si>
    <t>04777-01</t>
  </si>
  <si>
    <t>MELVIN-CIRCLEVILLE (04526-01)</t>
  </si>
  <si>
    <t>04526-01</t>
  </si>
  <si>
    <t>MELVIN-CIRCLEVILLE (4526A-01)</t>
  </si>
  <si>
    <t>4526A-01</t>
  </si>
  <si>
    <t>MELVIN-MELVIN (04721-01)</t>
  </si>
  <si>
    <t>04721-01</t>
  </si>
  <si>
    <t>MELVIN-WASHINGTON COURT HOUSE (04836-01)</t>
  </si>
  <si>
    <t>04836-01</t>
  </si>
  <si>
    <t>MELVIN-WILLIAMSPORT (04511-01)</t>
  </si>
  <si>
    <t>04511-01</t>
  </si>
  <si>
    <t>MGQ-MILLERSVILLE (04104-01)</t>
  </si>
  <si>
    <t>04104-01</t>
  </si>
  <si>
    <t>MGQ-OLD FORT (04107-01)</t>
  </si>
  <si>
    <t>04107-01</t>
  </si>
  <si>
    <t>MID-OHIO-BELLVILLE (04228-01)</t>
  </si>
  <si>
    <t>04228-01</t>
  </si>
  <si>
    <t>MIDVALE-MIDVALE (05029-01)</t>
  </si>
  <si>
    <t>05029-01</t>
  </si>
  <si>
    <t>MIDVALE-MIDVALE (5029A-01)</t>
  </si>
  <si>
    <t>5029A-01</t>
  </si>
  <si>
    <t>MILTON-LUDLOW FALLS (04612-01)</t>
  </si>
  <si>
    <t>04612-01</t>
  </si>
  <si>
    <t>MORROW S&amp;G-MORROW (04723-01)</t>
  </si>
  <si>
    <t>04723-01</t>
  </si>
  <si>
    <t>MOUNTAIN MATLS-VALLEY STONE (04816-01)</t>
  </si>
  <si>
    <t>04816-01</t>
  </si>
  <si>
    <t>MOUNTAIN-CARTER CITY (04843-01)</t>
  </si>
  <si>
    <t>04843-01</t>
  </si>
  <si>
    <t>MOUNTAINEER-CUMBERLAND (5071A-01)</t>
  </si>
  <si>
    <t>5071A-01</t>
  </si>
  <si>
    <t>MOUNTAIN-GREENUP,KY (04842-01)</t>
  </si>
  <si>
    <t>04842-01</t>
  </si>
  <si>
    <t>NATIONAL L&amp;S-BUCKLAND (04636-01)</t>
  </si>
  <si>
    <t>04636-01</t>
  </si>
  <si>
    <t>NATIONAL L&amp;S-BUCKLAND (4636A-01)</t>
  </si>
  <si>
    <t>4636A-01</t>
  </si>
  <si>
    <t>NATIONAL L&amp;S-BUCKLAND (4636B-01)</t>
  </si>
  <si>
    <t>4636B-01</t>
  </si>
  <si>
    <t>04030-01</t>
  </si>
  <si>
    <t>NATIONAL L&amp;S-CAREY(EAST PLANT C5) (04006-01)</t>
  </si>
  <si>
    <t>04006-01</t>
  </si>
  <si>
    <t>NATIONAL L&amp;S-CHESTERVILLE S&amp;G (04521-01)</t>
  </si>
  <si>
    <t>04521-01</t>
  </si>
  <si>
    <t>NATIONAL L&amp;S-DELAWARE (04505-01)</t>
  </si>
  <si>
    <t>04505-01</t>
  </si>
  <si>
    <t>NATIONAL L&amp;S-DELAWARE (4505B-01)</t>
  </si>
  <si>
    <t>4505B-01</t>
  </si>
  <si>
    <t>NATIONAL L&amp;S-DELPHOS (04015-01)</t>
  </si>
  <si>
    <t>04015-01</t>
  </si>
  <si>
    <t>NATIONAL L&amp;S-FINDLAY (04007-01)</t>
  </si>
  <si>
    <t>04007-01</t>
  </si>
  <si>
    <t>NATIONAL L&amp;S-LIMA (04008-01)</t>
  </si>
  <si>
    <t>04008-01</t>
  </si>
  <si>
    <t>NATIONAL L&amp;S-MARION (04512-01)</t>
  </si>
  <si>
    <t>04512-01</t>
  </si>
  <si>
    <t>NATIONAL L&amp;S-MARION (4512A-01)</t>
  </si>
  <si>
    <t>4512A-01</t>
  </si>
  <si>
    <t>04027-01</t>
  </si>
  <si>
    <t>NATIONAL-BUCYRUS (04202-01)</t>
  </si>
  <si>
    <t>04202-01</t>
  </si>
  <si>
    <t>NATIONAL-BUCYRUS (PORTABLE/LOWER) (4202A-01)</t>
  </si>
  <si>
    <t>4202A-01</t>
  </si>
  <si>
    <t>NATIONAL-U.SANDUSKY (04019-01)</t>
  </si>
  <si>
    <t>04019-01</t>
  </si>
  <si>
    <t>NEERS S&amp;G-BELLEFONTAINE (04629-01)</t>
  </si>
  <si>
    <t>04629-01</t>
  </si>
  <si>
    <t>NELSON S&amp;G-KINGSVILLE (04301-01)</t>
  </si>
  <si>
    <t>04301-01</t>
  </si>
  <si>
    <t>NEWARK MATERIALS LLC.-NEWARK (04434-01)</t>
  </si>
  <si>
    <t>04434-01</t>
  </si>
  <si>
    <t>NEWTON AGG-DOVER (05020-01)</t>
  </si>
  <si>
    <t>05020-01</t>
  </si>
  <si>
    <t>NEWTON AGG-DOVER (5020A-01)</t>
  </si>
  <si>
    <t>5020A-01</t>
  </si>
  <si>
    <t>NICHOLS RECLAMATION-BELPRE (04960-01)</t>
  </si>
  <si>
    <t>04960-01</t>
  </si>
  <si>
    <t>NORTHERN KENTUCKY-PETERSBURG (04745-01)</t>
  </si>
  <si>
    <t>04745-01</t>
  </si>
  <si>
    <t>NORTHERN KENTUCKY-PETERSBURG (4745A-01)</t>
  </si>
  <si>
    <t>4745A-01</t>
  </si>
  <si>
    <t>OEDER S&amp;G-LEBANON (04724-01)</t>
  </si>
  <si>
    <t>04724-01</t>
  </si>
  <si>
    <t>OHIO ASPHALTIC-HILLSBORO (04819-01)</t>
  </si>
  <si>
    <t>04819-01</t>
  </si>
  <si>
    <t>OLD PRAIRIE-FT. WAYNE (04034-01)</t>
  </si>
  <si>
    <t>04034-01</t>
  </si>
  <si>
    <t>OLEN CORP-COLUMBUS CR GR (04509-01)</t>
  </si>
  <si>
    <t>04509-01</t>
  </si>
  <si>
    <t>OLEN CORP-COLUMBUS LIMESTONE (04538-01)</t>
  </si>
  <si>
    <t>04538-01</t>
  </si>
  <si>
    <t>OLEN CORP-COLUMBUS40% (4509A-01)</t>
  </si>
  <si>
    <t>4509A-01</t>
  </si>
  <si>
    <t>OLEN CORP-FREDERICKTOWN (04420-01)</t>
  </si>
  <si>
    <t>04420-01</t>
  </si>
  <si>
    <t>OLEN CORP-ST.LOUISVILLE (04410-01)</t>
  </si>
  <si>
    <t>04410-01</t>
  </si>
  <si>
    <t>OLEN CORP-WOOSTER (04215-01)</t>
  </si>
  <si>
    <t>04215-01</t>
  </si>
  <si>
    <t>OLEN CORP-WOOSTER (4215A-01)</t>
  </si>
  <si>
    <t>4215A-01</t>
  </si>
  <si>
    <t>OLEN-ST. LOUISVILLE WITH SHELLY-COLUMBUS (4410B-01)</t>
  </si>
  <si>
    <t>4410B-01</t>
  </si>
  <si>
    <t>OLEN-UPPER SANDUSKY (04004-01)</t>
  </si>
  <si>
    <t>04004-01</t>
  </si>
  <si>
    <t>OLEN-UPPER SANDUSKY (4004A-01)</t>
  </si>
  <si>
    <t>4004A-01</t>
  </si>
  <si>
    <t>OSTER S&amp;G-BOLIVAR#2 (05027-01)</t>
  </si>
  <si>
    <t>05027-01</t>
  </si>
  <si>
    <t>OSTER S&amp;G-BOLIVAR#2 (5027A-01)</t>
  </si>
  <si>
    <t>5027A-01</t>
  </si>
  <si>
    <t>OSTER S&amp;G-MASSILLON (04325-01)</t>
  </si>
  <si>
    <t>04325-01</t>
  </si>
  <si>
    <t>PHILLIPS COMPANIES-VANDALIA (04614-01)</t>
  </si>
  <si>
    <t>04614-01</t>
  </si>
  <si>
    <t>PHILLIPS-XENIA (04725-01)</t>
  </si>
  <si>
    <t>04725-01</t>
  </si>
  <si>
    <t>PHILLIPS-XENIA (4725A-01)</t>
  </si>
  <si>
    <t>4725A-01</t>
  </si>
  <si>
    <t>PHOENIX SERVICES LLC - MINGO JUNCTION (05002-01)</t>
  </si>
  <si>
    <t>05002-01</t>
  </si>
  <si>
    <t>PHOENIX-MAGNOLIA (05064-01)</t>
  </si>
  <si>
    <t>05064-01</t>
  </si>
  <si>
    <t>PIQUA MINERALS-PIQUA (04615-01)</t>
  </si>
  <si>
    <t>04615-01</t>
  </si>
  <si>
    <t>POEPPELMAN-BRADFORD (04631-01)</t>
  </si>
  <si>
    <t>04631-01</t>
  </si>
  <si>
    <t>PORTAGE-MANTUA (04389-01)</t>
  </si>
  <si>
    <t>04389-01</t>
  </si>
  <si>
    <t>PRECISION-FREMONT (04109-01)</t>
  </si>
  <si>
    <t>04109-01</t>
  </si>
  <si>
    <t>PRECISION-PORTAGE (04133-01)</t>
  </si>
  <si>
    <t>04133-01</t>
  </si>
  <si>
    <t>PRECISION-U.SANDUSKY (04010-01)</t>
  </si>
  <si>
    <t>04010-01</t>
  </si>
  <si>
    <t>04011-01</t>
  </si>
  <si>
    <t>QUALITY AGG-PORTERSVILLE (04382-01)</t>
  </si>
  <si>
    <t>04382-01</t>
  </si>
  <si>
    <t>QUALITY-WAPAKONETA (04633-01)</t>
  </si>
  <si>
    <t>04633-01</t>
  </si>
  <si>
    <t>R.W.SIDLEY S&amp;G-N.KINGSVILLE (04335-01)</t>
  </si>
  <si>
    <t>04335-01</t>
  </si>
  <si>
    <t>R.W.SIDLEY-THOMPSON (05113-01)</t>
  </si>
  <si>
    <t>05113-01</t>
  </si>
  <si>
    <t>RAZOR LAKE-NEWCOMERSTOWN (04423-01)</t>
  </si>
  <si>
    <t>04423-01</t>
  </si>
  <si>
    <t>RIVER S&amp;G-VANCEBURG (04845-01)</t>
  </si>
  <si>
    <t>04845-01</t>
  </si>
  <si>
    <t>ROCK BOTTOM-PLEASANT (04153-01)</t>
  </si>
  <si>
    <t>04153-01</t>
  </si>
  <si>
    <t>ROUND LAKE-ADDISON (04122-01)</t>
  </si>
  <si>
    <t>04122-01</t>
  </si>
  <si>
    <t>ROUND LAKE-ADDISON (4122A-01)</t>
  </si>
  <si>
    <t>4122A-01</t>
  </si>
  <si>
    <t>RUPP-MARSHALLVILLE (04214-01)</t>
  </si>
  <si>
    <t>04214-01</t>
  </si>
  <si>
    <t>S.COLUMBUS AGG-LOCKBOURNE (04522-01)</t>
  </si>
  <si>
    <t>04522-01</t>
  </si>
  <si>
    <t>SHAMROCK S&amp;G-TRENTON (04726-01)</t>
  </si>
  <si>
    <t>04726-01</t>
  </si>
  <si>
    <t>SHELLY MATERIALS-ZANESVILLE (4414A-01)</t>
  </si>
  <si>
    <t>4414A-01</t>
  </si>
  <si>
    <t>SHELLY MATLS-BELLE CENTER (04626-01)</t>
  </si>
  <si>
    <t>04626-01</t>
  </si>
  <si>
    <t>SHELLY MATLS-CHILLICOTHE-1 (04804-01)</t>
  </si>
  <si>
    <t>04804-01</t>
  </si>
  <si>
    <t>SHELLY MATLS-COLUMBUS GR (04503-01)</t>
  </si>
  <si>
    <t>04503-01</t>
  </si>
  <si>
    <t>SHELLY MATLS-COLUMBUS LS (04502-01)</t>
  </si>
  <si>
    <t>04502-01</t>
  </si>
  <si>
    <t>SHELLY MATLS-COSHOCTON (04403-01)</t>
  </si>
  <si>
    <t>04403-01</t>
  </si>
  <si>
    <t>SHELLY MATLS-COSHOCTON (4403A-01)</t>
  </si>
  <si>
    <t>4403A-01</t>
  </si>
  <si>
    <t>SHELLY MATLS-COSHOCTON (GR/LST BLEND) (4403B-01)</t>
  </si>
  <si>
    <t>4403B-01</t>
  </si>
  <si>
    <t>SHELLY MATLS-E.FULTONHAM (04413-01)</t>
  </si>
  <si>
    <t>04413-01</t>
  </si>
  <si>
    <t>SHELLY MATLS-FOREST (04020-01)</t>
  </si>
  <si>
    <t>04020-01</t>
  </si>
  <si>
    <t>SHELLY MATLS-LANCASTER (04411-01)</t>
  </si>
  <si>
    <t>04411-01</t>
  </si>
  <si>
    <t>SHELLY MATLS-LANCASTER (4411B-01)</t>
  </si>
  <si>
    <t>4411B-01</t>
  </si>
  <si>
    <t>SHELLY MATLS-LOCKBOURNE (04523-01)</t>
  </si>
  <si>
    <t>04523-01</t>
  </si>
  <si>
    <t>SHELLY MATLS-MANTUA (04390-01)</t>
  </si>
  <si>
    <t>04390-01</t>
  </si>
  <si>
    <t>SHELLY MATLS-MARIETTA(CR) (4948A-01)</t>
  </si>
  <si>
    <t>4948A-01</t>
  </si>
  <si>
    <t>SHELLY MATLS-NEWARK (04407-01)</t>
  </si>
  <si>
    <t>04407-01</t>
  </si>
  <si>
    <t>SHELLY MATLS-OSTRANDER (04519-01)</t>
  </si>
  <si>
    <t>04519-01</t>
  </si>
  <si>
    <t>SHELLY MATLS-PORTLAND (04958-01)</t>
  </si>
  <si>
    <t>04958-01</t>
  </si>
  <si>
    <t>SHELLY MATLS-REEDSVILLE (04945-01)</t>
  </si>
  <si>
    <t>04945-01</t>
  </si>
  <si>
    <t>SHELLY MATLS-SPRINGFIELD (04652-01)</t>
  </si>
  <si>
    <t>04652-01</t>
  </si>
  <si>
    <t>SHELLY MATLS-WILLOW ISLAND (04948-01)</t>
  </si>
  <si>
    <t>04948-01</t>
  </si>
  <si>
    <t>SHELLY MATLS-YORK CENTER (04513-01)</t>
  </si>
  <si>
    <t>04513-01</t>
  </si>
  <si>
    <t>SIDWELL MATLS-STRASBURG LIMESTONE (05073-01)</t>
  </si>
  <si>
    <t>05073-01</t>
  </si>
  <si>
    <t>SIMAK-N.KINGSVILLE (04380-01)</t>
  </si>
  <si>
    <t>04380-01</t>
  </si>
  <si>
    <t>SMALLS S&amp;G-GAMBIER (04419-01)</t>
  </si>
  <si>
    <t>04419-01</t>
  </si>
  <si>
    <t>SMALLS S&amp;G-GAMBIER (4419A-01)</t>
  </si>
  <si>
    <t>4419A-01</t>
  </si>
  <si>
    <t>SOBER S&amp;G-ROOTSTOWN (04377-01)</t>
  </si>
  <si>
    <t>04377-01</t>
  </si>
  <si>
    <t>SOEHNLEN-BEACH CITY (05069-01)</t>
  </si>
  <si>
    <t>05069-01</t>
  </si>
  <si>
    <t>SOLOMON MINES-SALEM (04371-01)</t>
  </si>
  <si>
    <t>04371-01</t>
  </si>
  <si>
    <t>SOUTH S&amp;G-PIKETON (04805-01)</t>
  </si>
  <si>
    <t>04805-01</t>
  </si>
  <si>
    <t>SOUTHERN OHIO-CLEVES (04766-01)</t>
  </si>
  <si>
    <t>04766-01</t>
  </si>
  <si>
    <t>SPRINGFIELD S&amp;G-SPRINGFIELD (04649-01)</t>
  </si>
  <si>
    <t>04649-01</t>
  </si>
  <si>
    <t>STAFFORD GR-BUTLER (04135-01)</t>
  </si>
  <si>
    <t>04135-01</t>
  </si>
  <si>
    <t>STANDING STONE-CADIZ (05066-01)</t>
  </si>
  <si>
    <t>05066-01</t>
  </si>
  <si>
    <t>STANSLEY-GENOA (04118-01)</t>
  </si>
  <si>
    <t>04118-01</t>
  </si>
  <si>
    <t>4118R-01</t>
  </si>
  <si>
    <t>STEIN-LORAIN,ACBF SL (04208-01)</t>
  </si>
  <si>
    <t>04208-01</t>
  </si>
  <si>
    <t>STOCKER-GNADENHUTTEN (09552-01)</t>
  </si>
  <si>
    <t>09552-01</t>
  </si>
  <si>
    <t>STOCKER-GNADENHUTTEN (9552A-01)</t>
  </si>
  <si>
    <t>9552A-01</t>
  </si>
  <si>
    <t>STOCKER-PT.WASHINGTON (05038-01)</t>
  </si>
  <si>
    <t>05038-01</t>
  </si>
  <si>
    <t>STOCKER-PT.WASHINGTON (5038A-01)</t>
  </si>
  <si>
    <t>5038A-01</t>
  </si>
  <si>
    <t>STONECO-ANN ARBOR,MI (04160-01)</t>
  </si>
  <si>
    <t>04160-01</t>
  </si>
  <si>
    <t>STONECO-CELINA (04622-01)</t>
  </si>
  <si>
    <t>04622-01</t>
  </si>
  <si>
    <t>STONECO-LIME CITY (04101-01)</t>
  </si>
  <si>
    <t>04101-01</t>
  </si>
  <si>
    <t>STONECO-MAUMEE (04123-01)</t>
  </si>
  <si>
    <t>04123-01</t>
  </si>
  <si>
    <t>STONECO-MAUMEE (4123A-01)</t>
  </si>
  <si>
    <t>4123A-01</t>
  </si>
  <si>
    <t>STONECO-MAYBEE,MI (04154-01)</t>
  </si>
  <si>
    <t>04154-01</t>
  </si>
  <si>
    <t>STONECO-MOSCOW,MI (04131-01)</t>
  </si>
  <si>
    <t>04131-01</t>
  </si>
  <si>
    <t>STONECO-OAKWOOD (04012-01)</t>
  </si>
  <si>
    <t>04012-01</t>
  </si>
  <si>
    <t>STONECO-OTTAWA LAKE, MI (04132-01)</t>
  </si>
  <si>
    <t>04132-01</t>
  </si>
  <si>
    <t>STONECO-PORTAGE (04103-01)</t>
  </si>
  <si>
    <t>04103-01</t>
  </si>
  <si>
    <t>STONECO-SCOTT (04013-01)</t>
  </si>
  <si>
    <t>04013-01</t>
  </si>
  <si>
    <t>SUBTROPILIS-PETERSBURG (04394-01)</t>
  </si>
  <si>
    <t>04394-01</t>
  </si>
  <si>
    <t>SUFFIELD-MOGADORE (04399-01)</t>
  </si>
  <si>
    <t>04399-01</t>
  </si>
  <si>
    <t>TERRA-MERCER,PA (04396-01)</t>
  </si>
  <si>
    <t>04396-01</t>
  </si>
  <si>
    <t>THREE RIVERS AGGREGATE, LLC.-SLIPPERY ROCK #2 (04395-01)</t>
  </si>
  <si>
    <t>04395-01</t>
  </si>
  <si>
    <t>THREE RIVERS AGGREGATE, LLC.-WAMPUM QUARRY (04388-01)</t>
  </si>
  <si>
    <t>04388-01</t>
  </si>
  <si>
    <t>THREE RIVERS AGGREGATES, LLC - BLACK RUN (04375-01)</t>
  </si>
  <si>
    <t>04375-01</t>
  </si>
  <si>
    <t>THREE RIVERS AGGREGATES, LLC. - PALMER QUARRY (04398-01)</t>
  </si>
  <si>
    <t>04398-01</t>
  </si>
  <si>
    <t>THREE RIVERS AGGREGATES, LLC.- MERCER QUARRY (04349-01)</t>
  </si>
  <si>
    <t>04349-01</t>
  </si>
  <si>
    <t>TIGER S&amp;G-MASSILLON (04344-01)</t>
  </si>
  <si>
    <t>04344-01</t>
  </si>
  <si>
    <t>TIGER S&amp;G-MASSILLON (4344B-01)</t>
  </si>
  <si>
    <t>4344B-01</t>
  </si>
  <si>
    <t>TOW PATH-FRANKFORT (04841-01)</t>
  </si>
  <si>
    <t>04841-01</t>
  </si>
  <si>
    <t>TOW PATH-LUCASVILLE (04838-01)</t>
  </si>
  <si>
    <t>04838-01</t>
  </si>
  <si>
    <t>TUBE CITY-MIDDLETOWN (04707-01)</t>
  </si>
  <si>
    <t>04707-01</t>
  </si>
  <si>
    <t>TUFFCO-PLAIN CITY (04516-01)</t>
  </si>
  <si>
    <t>04516-01</t>
  </si>
  <si>
    <t>TUFFCO-PLAIN CITY (4516A-01)</t>
  </si>
  <si>
    <t>4516A-01</t>
  </si>
  <si>
    <t>U.S. AGGREGATES, INC.-BERNE (04031-01)</t>
  </si>
  <si>
    <t>04031-01</t>
  </si>
  <si>
    <t>U.S. AGGREGATES, INC.-DECATUR (04005-01)</t>
  </si>
  <si>
    <t>04005-01</t>
  </si>
  <si>
    <t>U.S. AGGREGATES, INC.-PORTLAND (04032-01)</t>
  </si>
  <si>
    <t>04032-01</t>
  </si>
  <si>
    <t>U.S. AGGREGATES, INC.-RIDGEVILLE (04033-01)</t>
  </si>
  <si>
    <t>04033-01</t>
  </si>
  <si>
    <t>U.S. AGGREGATES-RICHMOND,IN (04709-01)</t>
  </si>
  <si>
    <t>04709-01</t>
  </si>
  <si>
    <t>UNIONTOWN-ST.CLAIRSVILLE (05062-01)</t>
  </si>
  <si>
    <t>05062-01</t>
  </si>
  <si>
    <t>UNITED AGG-DANVILLE (04405-01)</t>
  </si>
  <si>
    <t>04405-01</t>
  </si>
  <si>
    <t>UNITED AGG-MT.VERNON (04409-01)</t>
  </si>
  <si>
    <t>04409-01</t>
  </si>
  <si>
    <t>URBANA MATLS-URBANA (04628-01)</t>
  </si>
  <si>
    <t>04628-01</t>
  </si>
  <si>
    <t>WALHONDLING VALLEY SAND &amp; GRAVEL-WALHONDLING (04433-01)</t>
  </si>
  <si>
    <t>04433-01</t>
  </si>
  <si>
    <t>WALLS-FT.JEFFERSON (4602A-01)</t>
  </si>
  <si>
    <t>4602A-01</t>
  </si>
  <si>
    <t>WATSON-CLEVES (04787-01)</t>
  </si>
  <si>
    <t>04787-01</t>
  </si>
  <si>
    <t>WATSON-HARRISON#2 (04779-01)</t>
  </si>
  <si>
    <t>04779-01</t>
  </si>
  <si>
    <t>WATSON-MIDDLETOWN (04744-01)</t>
  </si>
  <si>
    <t>04744-01</t>
  </si>
  <si>
    <t>WATSON-ROSS (04729-01)</t>
  </si>
  <si>
    <t>04729-01</t>
  </si>
  <si>
    <t>WEBER S&amp;G-EDGERTON (04117-01)</t>
  </si>
  <si>
    <t>04117-01</t>
  </si>
  <si>
    <t>WEIDLE S&amp;G-GERMANTOWN (04650-01)</t>
  </si>
  <si>
    <t>04650-01</t>
  </si>
  <si>
    <t>WELCH S&amp;G-HAMILTON (04733-01)</t>
  </si>
  <si>
    <t>04733-01</t>
  </si>
  <si>
    <t>WEST MILLGROVE STONE-W.MILLGROVE (04108-01)</t>
  </si>
  <si>
    <t>04108-01</t>
  </si>
  <si>
    <t>WEST MILLGROVE STONE-W.MILLGROVE (4108A-01)</t>
  </si>
  <si>
    <t>4108A-01</t>
  </si>
  <si>
    <t>WESTFALL-CIRCLEVILLE (04535-01)</t>
  </si>
  <si>
    <t>04535-01</t>
  </si>
  <si>
    <t>WYANDOT-CAREY (04017-01)</t>
  </si>
  <si>
    <t>WYSONG GRAVEL-W.ALEXANDRIA (4736A-01)</t>
  </si>
  <si>
    <t>4736A-01</t>
  </si>
  <si>
    <t>WYSONG GR-CAMDEN (04734-01)</t>
  </si>
  <si>
    <t>04734-01</t>
  </si>
  <si>
    <t>WYSONG GR-W.ALEXANDRIA (04736-01)</t>
  </si>
  <si>
    <t>04736-01</t>
  </si>
  <si>
    <t>WYSONG-LEWISBURG (04735-01)</t>
  </si>
  <si>
    <t>04735-01</t>
  </si>
  <si>
    <t>XL S&amp;G-NEGLEY (05039-01)</t>
  </si>
  <si>
    <t>05039-01</t>
  </si>
  <si>
    <t>YOUNGS S&amp;G-LOUDONVILLE (04201-01)</t>
  </si>
  <si>
    <t>04201-01</t>
  </si>
  <si>
    <t>Plan notes for as per plan, design build, and warranty projects</t>
  </si>
  <si>
    <t>JMF Packet No.</t>
  </si>
  <si>
    <t>Introduction:</t>
  </si>
  <si>
    <t>Supplementary Information:</t>
  </si>
  <si>
    <t>Color Coding:</t>
  </si>
  <si>
    <t>The following color coding is used in this JMF packet:</t>
  </si>
  <si>
    <t xml:space="preserve">  For data entries that need to be typed.</t>
  </si>
  <si>
    <t xml:space="preserve">  For options selected from a dropdown list.</t>
  </si>
  <si>
    <t xml:space="preserve">  For cells that copy information from another cell.</t>
  </si>
  <si>
    <t xml:space="preserve">  For cells that include a formula.</t>
  </si>
  <si>
    <t>JMF_Packet_No</t>
  </si>
  <si>
    <t>Mix Mat. Code</t>
  </si>
  <si>
    <t>04501-01</t>
  </si>
  <si>
    <t>05052-01</t>
  </si>
  <si>
    <t>05058-01</t>
  </si>
  <si>
    <t>04803-01</t>
  </si>
  <si>
    <t>04210-01</t>
  </si>
  <si>
    <t>04621-01</t>
  </si>
  <si>
    <t>04623-01</t>
  </si>
  <si>
    <t>04226-01</t>
  </si>
  <si>
    <t>04230-01</t>
  </si>
  <si>
    <t>04222-01</t>
  </si>
  <si>
    <t>04430-01</t>
  </si>
  <si>
    <t>04946-01</t>
  </si>
  <si>
    <t>05072-01</t>
  </si>
  <si>
    <t>96237-01</t>
  </si>
  <si>
    <t>96238-01</t>
  </si>
  <si>
    <t>96239-01</t>
  </si>
  <si>
    <t>04029-01</t>
  </si>
  <si>
    <t>04741-01</t>
  </si>
  <si>
    <t>05115-01</t>
  </si>
  <si>
    <t>04738-01</t>
  </si>
  <si>
    <t>4738A-01</t>
  </si>
  <si>
    <t>05106-01</t>
  </si>
  <si>
    <t>05116-01</t>
  </si>
  <si>
    <t>04358-01</t>
  </si>
  <si>
    <t>04341-01</t>
  </si>
  <si>
    <t>04340-01</t>
  </si>
  <si>
    <t>04130-01</t>
  </si>
  <si>
    <t>05119-01</t>
  </si>
  <si>
    <t>05111-01</t>
  </si>
  <si>
    <t>04165-01</t>
  </si>
  <si>
    <t>4611B-01</t>
  </si>
  <si>
    <t>04949-01</t>
  </si>
  <si>
    <t>04152-01</t>
  </si>
  <si>
    <t>04781-01</t>
  </si>
  <si>
    <t>05065-01</t>
  </si>
  <si>
    <t>04164-01</t>
  </si>
  <si>
    <t>04387-01</t>
  </si>
  <si>
    <t>04129-01</t>
  </si>
  <si>
    <t>4354B-01</t>
  </si>
  <si>
    <t>05114-01</t>
  </si>
  <si>
    <t>04320-01</t>
  </si>
  <si>
    <t>4772A-01</t>
  </si>
  <si>
    <t>04112-01</t>
  </si>
  <si>
    <t>04815-01</t>
  </si>
  <si>
    <t>04142-01</t>
  </si>
  <si>
    <t>04421-01</t>
  </si>
  <si>
    <t>04814-01</t>
  </si>
  <si>
    <t>04825-01</t>
  </si>
  <si>
    <t>4416A-01</t>
  </si>
  <si>
    <t>04904-01</t>
  </si>
  <si>
    <t>4412A-01</t>
  </si>
  <si>
    <t>04412-01</t>
  </si>
  <si>
    <t>05044-01</t>
  </si>
  <si>
    <t>04731-01</t>
  </si>
  <si>
    <t>05071-01</t>
  </si>
  <si>
    <t>04932-01</t>
  </si>
  <si>
    <t>04933-01</t>
  </si>
  <si>
    <t>04769-01</t>
  </si>
  <si>
    <t>05047-01</t>
  </si>
  <si>
    <t>04357-01</t>
  </si>
  <si>
    <t>04759-01</t>
  </si>
  <si>
    <t>04334-01</t>
  </si>
  <si>
    <t>04144-01</t>
  </si>
  <si>
    <t>4325A-01</t>
  </si>
  <si>
    <t>04431-01</t>
  </si>
  <si>
    <t>04366-01</t>
  </si>
  <si>
    <t>04937-01</t>
  </si>
  <si>
    <t>4937A-01</t>
  </si>
  <si>
    <t>04229-01</t>
  </si>
  <si>
    <t>04786-01</t>
  </si>
  <si>
    <t>04333-01</t>
  </si>
  <si>
    <t>04424-01</t>
  </si>
  <si>
    <t>04840-01</t>
  </si>
  <si>
    <t>4502B-01</t>
  </si>
  <si>
    <t>04402-01</t>
  </si>
  <si>
    <t>04906-01</t>
  </si>
  <si>
    <t>4906A-01</t>
  </si>
  <si>
    <t>4652A-01</t>
  </si>
  <si>
    <t>04414-01</t>
  </si>
  <si>
    <t>04350-01</t>
  </si>
  <si>
    <t>04126-01</t>
  </si>
  <si>
    <t>04157-01</t>
  </si>
  <si>
    <t>04789-01</t>
  </si>
  <si>
    <t>04844-01</t>
  </si>
  <si>
    <t>05031-01</t>
  </si>
  <si>
    <t>5031A-01</t>
  </si>
  <si>
    <t>05103-01</t>
  </si>
  <si>
    <t>04846-01</t>
  </si>
  <si>
    <t>04746-01</t>
  </si>
  <si>
    <t>04732-01</t>
  </si>
  <si>
    <t>4535B-01</t>
  </si>
  <si>
    <t>AGG ROK-COLUMBUS (04501-01)</t>
  </si>
  <si>
    <t>ANTHONY-WINTERSVILLE (05052-01)</t>
  </si>
  <si>
    <t>APEX LIMESTONE-AMSTERDAM (05058-01)</t>
  </si>
  <si>
    <t>B.C.E.-WHEELERSBURG (04803-01)</t>
  </si>
  <si>
    <t>BAKER SD-BURBANK (04210-01)</t>
  </si>
  <si>
    <t>BARRETT(GR)-SIDNEY (04621-01)</t>
  </si>
  <si>
    <t>BARRETT(LS)-SIDNEY (04623-01)</t>
  </si>
  <si>
    <t>BARRETT(LS)-SIDNEY""VANDEMARK"" (04625-01)</t>
  </si>
  <si>
    <t>BARRETT(LS)-SIDNEY""VANDEMARK"" (4625A-01)</t>
  </si>
  <si>
    <t>BARTLEY&amp;BOLIN-LOUDON (04226-01)</t>
  </si>
  <si>
    <t>BERRESFORD BROKERAGE, LLC-LOARIN (04230-01)</t>
  </si>
  <si>
    <t>BOWMAN-BELLVILLE (04222-01)</t>
  </si>
  <si>
    <t>BROOKSIDE-ALEXANDRIA (04430-01)</t>
  </si>
  <si>
    <t>BT MATLS-NELSONVILLE (04946-01)</t>
  </si>
  <si>
    <t>BUCK RUN AGG-NEGLEY (05072-01)</t>
  </si>
  <si>
    <t>CARMEUSE BUFFINGTON (96237-01)</t>
  </si>
  <si>
    <t>CARMEUSE GRAND RIVER (96238-01)</t>
  </si>
  <si>
    <t>CARMEUSE RIVER GOUGE (96239-01)</t>
  </si>
  <si>
    <t>CARMEUSE-BETTSVILLE (04029-01)</t>
  </si>
  <si>
    <t>CARMEUSE-BLACK RIVER (04741-01)</t>
  </si>
  <si>
    <t>CARMEUSE-CEDARVILLE (05115-01)</t>
  </si>
  <si>
    <t>CARMEUSE-MAYSVILLE (04738-01)</t>
  </si>
  <si>
    <t>CARMEUSE-MAYSVILLE (4738A-01)</t>
  </si>
  <si>
    <t>CARMEUSE-PT.INLAND (05106-01)</t>
  </si>
  <si>
    <t>CARMUESE-CALCITE (05116-01)</t>
  </si>
  <si>
    <t>CENTRAL AGG-WARMINGTON RD.-AKRON (04358-01)</t>
  </si>
  <si>
    <t>CENTRAL READY MIX-GERMANTOWN (04730-01)</t>
  </si>
  <si>
    <t>CONNEAUT LAKE S&amp;G,PA (04341-01)</t>
  </si>
  <si>
    <t>CRUISE,R.A.-RAVENNA (04340-01)</t>
  </si>
  <si>
    <t>CTE S&amp;G-TECUMSEH,MI (04130-01)</t>
  </si>
  <si>
    <t>DIGERONIMO AGGREGATES-INDEPENDENCE (05119-01)</t>
  </si>
  <si>
    <t>DRUMMOND ISLE STONE-DRUMMOND (05111-01)</t>
  </si>
  <si>
    <t>E.S. WAGNER-TOLEDO (04165-01)</t>
  </si>
  <si>
    <t>ENON SD&amp;GR(BLENDED)-ENON (4611B-01)</t>
  </si>
  <si>
    <t>GREER-MORGANTOWN,WV (04949-01)</t>
  </si>
  <si>
    <t>GS MATERIALS-MOSCOW, MI (04152-01)</t>
  </si>
  <si>
    <t>HARRISON-W.HARRISON,IN (04781-01)</t>
  </si>
  <si>
    <t>HARVEST S&amp;G-LEETONIA (05065-01)</t>
  </si>
  <si>
    <t>INDEPENDENCE @ WATERVILLE (04164-01)</t>
  </si>
  <si>
    <t>IRVING-CONNERSVILLE (04750-01)</t>
  </si>
  <si>
    <t>KINSMAN-KINSMAN (04387-01)</t>
  </si>
  <si>
    <t>KIRBY-U. SANDUSKY (04023-01)</t>
  </si>
  <si>
    <t>LAFARGE-KELLY ISLAND (04129-01)</t>
  </si>
  <si>
    <t>LAFARGE-LORDSTOWN-GR (4354B-01)</t>
  </si>
  <si>
    <t>LAFARGE-MANITOULIN (05114-01)</t>
  </si>
  <si>
    <t>LAKELAND-HARTSTOWN,PA (04319-01)</t>
  </si>
  <si>
    <t>LAKESIDE S&amp;G-MANTUA (04320-01)</t>
  </si>
  <si>
    <t>LEHIGH HANSON-CLEVES (4772A-01)</t>
  </si>
  <si>
    <t>LEHIGH HANSON-FLAT ROCK (04112-01)</t>
  </si>
  <si>
    <t>LEHIGH HANSON-HILLSBORO (04815-01)</t>
  </si>
  <si>
    <t>LEHIGH HANSON-WOODBURN (04025-01)</t>
  </si>
  <si>
    <t>LEVY CO-DETROIT, MI (04142-01)</t>
  </si>
  <si>
    <t>MANUFACTURES MINERAL-WA (04421-01)</t>
  </si>
  <si>
    <t>MARTIN MARIETTA-GREENFIELD (04814-01)</t>
  </si>
  <si>
    <t>MARTIN MARIETTA-LYNCHBURG (04825-01)</t>
  </si>
  <si>
    <t>MAR-ZANE#1-ZANESVILLE (4416A-01)</t>
  </si>
  <si>
    <t>MAR-ZANE-BEAVERTOWN (04904-01)</t>
  </si>
  <si>
    <t>MAXVILLE QUARRIES-MAXVILLE (4412A-01)</t>
  </si>
  <si>
    <t>MAXVILLE QUARRIES-MAXVILLE (04412-01)</t>
  </si>
  <si>
    <t>MELVIN STONE CO. - HAMDEN PLANT (04801-01)</t>
  </si>
  <si>
    <t>MINERAL TRADE-JEWETT (05044-01)</t>
  </si>
  <si>
    <t>MORAINE-MIDDLETOWN (04731-01)</t>
  </si>
  <si>
    <t>MOUNTAINEER S&amp;G-CUMBERLAND (05071-01)</t>
  </si>
  <si>
    <t>MULZER CR-CAPE SANDY (04932-01)</t>
  </si>
  <si>
    <t>MULZER CR-CHARLESTOWN (04933-01)</t>
  </si>
  <si>
    <t>MULZER-NEW AMSTERDAM (04769-01)</t>
  </si>
  <si>
    <t>NATIONAL L&amp;S-CAREY""C-6"" (04030-01)</t>
  </si>
  <si>
    <t>NATIONAL L&amp;S-MAGNOLIA (05047-01)</t>
  </si>
  <si>
    <t>NATIONAL-RIMER (04027-01)</t>
  </si>
  <si>
    <t>NATIONAL-WAYNESBURG (04357-01)</t>
  </si>
  <si>
    <t>NEW POINT-GREENSBURG (04759-01)</t>
  </si>
  <si>
    <t>OLEN CORP-MANTUA (04334-01)</t>
  </si>
  <si>
    <t>ONTARIO ROCK-ONTARIO (04144-01)</t>
  </si>
  <si>
    <t>OSTER S&amp;G-MASSILLON (4325A-01)</t>
  </si>
  <si>
    <t>PLEASANT VALLEY-ZANESVILLE (04431-01)</t>
  </si>
  <si>
    <t>PUTNAM AGGREGATES CO., LLC. (04011-01)</t>
  </si>
  <si>
    <t>QUALITY-W.PITTSBURGH (04366-01)</t>
  </si>
  <si>
    <t>RIVERSIDE-BATTLETOWN (04937-01)</t>
  </si>
  <si>
    <t>RIVERSIDE-BATTLETOWN (4937A-01)</t>
  </si>
  <si>
    <t>RUHLIN-WADSWORTH (04229-01)</t>
  </si>
  <si>
    <t>RUSH COUNTY-MILROY (04786-01)</t>
  </si>
  <si>
    <t>SAMCO-MIDDLEFIELD (04333-01)</t>
  </si>
  <si>
    <t>SHELLY MATLS-ALEXANDRIA (04424-01)</t>
  </si>
  <si>
    <t>SHELLY MATLS-CHILLICOTHE-2 (04840-01)</t>
  </si>
  <si>
    <t>SHELLY MATLS-COLUMBUS (PUGMILL) (4502B-01)</t>
  </si>
  <si>
    <t>SHELLY MATLS-DRESDEN (04402-01)</t>
  </si>
  <si>
    <t>SHELLY MATLS-RACINE (04906-01)</t>
  </si>
  <si>
    <t>SHELLY MATLS-RACINE (4906A-01)</t>
  </si>
  <si>
    <t>SHELLY MATLS-SPRINGFIELD (4652A-01)</t>
  </si>
  <si>
    <t>SHELLY-ZANESVILLE (04414-01)</t>
  </si>
  <si>
    <t>SHENANGO-JAMESTOWN (04350-01)</t>
  </si>
  <si>
    <t>SMELTER SD-THESSALON (04126-01)</t>
  </si>
  <si>
    <t>ST JOE S&amp;G-MONTPELIR (04157-01)</t>
  </si>
  <si>
    <t>STANSLEY-GENOA""STONECO-MAUMEE"" (4118R-01)</t>
  </si>
  <si>
    <t>STERLING-VERONA,KY (04789-01)</t>
  </si>
  <si>
    <t>THREE LOCKS-CHILLICOTHE (04844-01)</t>
  </si>
  <si>
    <t>TUBE CITY-MINGO JCT. (05031-01)</t>
  </si>
  <si>
    <t>TUBE CITY-MINGO JCT. (5031A-01)</t>
  </si>
  <si>
    <t>TWINSBURG-AURORA (05103-01)</t>
  </si>
  <si>
    <t>WC CHILLICOTHE,LLC-CHILLICOTHE (04846-01)</t>
  </si>
  <si>
    <t>WELCH S&amp;G-CINCINNATI (04746-01)</t>
  </si>
  <si>
    <t>WELCH SD&amp;GR,INC-HAMILTON (04732-01)</t>
  </si>
  <si>
    <t>WESTFALL-CIRCLEVILLE (4535B-01)</t>
  </si>
  <si>
    <t>LPA Project?</t>
  </si>
  <si>
    <t>Format: xx-xxxx (for ODOT projects)</t>
  </si>
  <si>
    <t>4118A-01</t>
  </si>
  <si>
    <t>??? (4118A-01)</t>
  </si>
  <si>
    <t xml:space="preserve">  For cells that cannot be modified.</t>
  </si>
  <si>
    <t>Max. Density Line</t>
  </si>
  <si>
    <t>Item_Code</t>
  </si>
  <si>
    <t>Item_Code_Name</t>
  </si>
  <si>
    <t>Item_Code_As_Per_Plan</t>
  </si>
  <si>
    <t>Item_Code_Design_Build</t>
  </si>
  <si>
    <t>Item_Code_Warranty</t>
  </si>
  <si>
    <t>Item_Code_Misc</t>
  </si>
  <si>
    <t>Item_Code_Spec_Item</t>
  </si>
  <si>
    <t>Item_Code_Mix_Type</t>
  </si>
  <si>
    <t>Item_Code_Traffic</t>
  </si>
  <si>
    <t>Comments</t>
  </si>
  <si>
    <t>=</t>
  </si>
  <si>
    <t>This file cannot be used for any other item or supplemental specification.</t>
  </si>
  <si>
    <r>
      <t>The following information shall be submitted with the JMF packet (</t>
    </r>
    <r>
      <rPr>
        <b/>
        <sz val="10"/>
        <color rgb="FFFF0000"/>
        <rFont val="Arial"/>
        <family val="2"/>
      </rPr>
      <t>if applicable</t>
    </r>
    <r>
      <rPr>
        <sz val="10"/>
        <color rgb="FFFF0000"/>
        <rFont val="Arial"/>
        <family val="2"/>
      </rPr>
      <t>):</t>
    </r>
  </si>
  <si>
    <t>MICROSURFACING</t>
  </si>
  <si>
    <t>Test Procedure</t>
  </si>
  <si>
    <t>Requirement</t>
  </si>
  <si>
    <t>TB 113</t>
  </si>
  <si>
    <t>TB 139</t>
  </si>
  <si>
    <t>TB 114</t>
  </si>
  <si>
    <t>TB 100</t>
  </si>
  <si>
    <t>TB 144</t>
  </si>
  <si>
    <t>Controllable to 120 seconds min.</t>
  </si>
  <si>
    <t>12 kg-cm min.</t>
  </si>
  <si>
    <t>20 kg-cm min. or near spin</t>
  </si>
  <si>
    <t>90% min.</t>
  </si>
  <si>
    <t>Result</t>
  </si>
  <si>
    <t>Pass/Fail</t>
  </si>
  <si>
    <t>ISSA Test</t>
  </si>
  <si>
    <r>
      <t>450 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max.</t>
    </r>
  </si>
  <si>
    <r>
      <t>650 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max.</t>
    </r>
  </si>
  <si>
    <t>Test</t>
  </si>
  <si>
    <t>Emulsion Test Results</t>
  </si>
  <si>
    <t>20 to 100</t>
  </si>
  <si>
    <t>Positive</t>
  </si>
  <si>
    <t>40 to 90</t>
  </si>
  <si>
    <t>62 min.</t>
  </si>
  <si>
    <t>AASHTO T 59</t>
  </si>
  <si>
    <r>
      <t xml:space="preserve">   Viscosity, Saybolt Furol at 77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 (25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 (SFS)</t>
    </r>
  </si>
  <si>
    <t xml:space="preserve">   Particle Charge Test</t>
  </si>
  <si>
    <r>
      <t xml:space="preserve">   Distillation to 177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C, Residue % Solids [2]</t>
    </r>
  </si>
  <si>
    <t xml:space="preserve">   Storage Stability, 24-hr (% Difference)</t>
  </si>
  <si>
    <t>AASHTO T 49</t>
  </si>
  <si>
    <t>AASHTO T 51</t>
  </si>
  <si>
    <t>AASHTO T 44</t>
  </si>
  <si>
    <t>AASHTO T 301</t>
  </si>
  <si>
    <t>AASHTO T 53</t>
  </si>
  <si>
    <t>40 min.</t>
  </si>
  <si>
    <t>97.5 min.</t>
  </si>
  <si>
    <t>60 min.</t>
  </si>
  <si>
    <r>
      <t xml:space="preserve">   Penetration, 25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C, 100 g, 5 sec (dmm) </t>
    </r>
  </si>
  <si>
    <r>
      <t xml:space="preserve">   Ductility, 25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C, 5 cm/min (cm)</t>
    </r>
  </si>
  <si>
    <r>
      <t xml:space="preserve">   Elastic Recovery, 10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C, 20 cm (%) [4]</t>
    </r>
  </si>
  <si>
    <r>
      <t xml:space="preserve">   Softening Point, Ring &amp; Ball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</si>
  <si>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t xml:space="preserve">   Tests on Emulsion</t>
  </si>
  <si>
    <t xml:space="preserve">   Tests on Distillation Residue</t>
  </si>
  <si>
    <t>[2]</t>
  </si>
  <si>
    <t>See Supplement 1013. For natural latex, use the Oven Evaporation method in AASHTO T 59 in place of distillation and use this</t>
  </si>
  <si>
    <t>residue for further testing.</t>
  </si>
  <si>
    <t>[3]</t>
  </si>
  <si>
    <t>On the base asphalt only. Solubility in N-Propyl Bromide (ASTM D7553) can be used in place of trichloroethylene.</t>
  </si>
  <si>
    <t>[4]</t>
  </si>
  <si>
    <t>Straight molds. Hold at test temperature for 90 minutes. Place in ductilometer and elongate 20 cm at 5 cm/min. Hold for 5 minutes</t>
  </si>
  <si>
    <t xml:space="preserve">and cut. After 1 hour retract the broken ends to touch and measure the elongation (X) in centimeters to the nearest 0.01 cm. </t>
  </si>
  <si>
    <t>Use the following formula to calculate the elastic recovery: Percent Recovery = ((20-X)/20) x 100. Report results to nearest 0.1%.</t>
  </si>
  <si>
    <t>[1]</t>
  </si>
  <si>
    <t xml:space="preserve">Pre-blend only: Use a minimum of 3.0% SBR solids based on weight of the asphalt binder. Use Natural SBR latex modifier or </t>
  </si>
  <si>
    <t xml:space="preserve">synthetic SBR latex modifier conforming to 702.14. Use only one type of latex. Mill or blend the SBR Emulsion into the emulsified </t>
  </si>
  <si>
    <t>solution prior to the emulsification process.</t>
  </si>
  <si>
    <t>% Emulsion</t>
  </si>
  <si>
    <t>% Residual Asphalt</t>
  </si>
  <si>
    <t>Asphalt Emulsion [1]</t>
  </si>
  <si>
    <t>CSS-1hM</t>
  </si>
  <si>
    <t>Mix Design Summary</t>
  </si>
  <si>
    <t>Agg. 1</t>
  </si>
  <si>
    <t>% Agg. 1</t>
  </si>
  <si>
    <t>Agg. 1 Type</t>
  </si>
  <si>
    <t>Agg. 1 Size</t>
  </si>
  <si>
    <t>Agg. 1 Producer</t>
  </si>
  <si>
    <t>Agg. 1 % Fractured</t>
  </si>
  <si>
    <t>Agg. 1 Sand Equivalent</t>
  </si>
  <si>
    <t>% Agg. 2</t>
  </si>
  <si>
    <t>Agg. 2 Size</t>
  </si>
  <si>
    <t>Agg. 2 Type</t>
  </si>
  <si>
    <t>Agg. 2 Producer</t>
  </si>
  <si>
    <t>Agg. 2 % Fractured</t>
  </si>
  <si>
    <t>Agg. 2 Sand Equivalent</t>
  </si>
  <si>
    <t>Agg. 2</t>
  </si>
  <si>
    <t>Blend Information</t>
  </si>
  <si>
    <t>% Pass.</t>
  </si>
  <si>
    <t>ADT (Optional)</t>
  </si>
  <si>
    <t>Asphalt Emulsion Information</t>
  </si>
  <si>
    <t>Aggregate Information</t>
  </si>
  <si>
    <t xml:space="preserve">Avg. % Fractured =  </t>
  </si>
  <si>
    <t xml:space="preserve">Avg. Sand Equivalent =  </t>
  </si>
  <si>
    <t>Lower Limit</t>
  </si>
  <si>
    <t>Upper Limit</t>
  </si>
  <si>
    <t>% Mineral Filler</t>
  </si>
  <si>
    <t>Type of Mineral Filler</t>
  </si>
  <si>
    <t>Portland Cement Type I</t>
  </si>
  <si>
    <t>% Moisture</t>
  </si>
  <si>
    <t xml:space="preserve">Contractor info.:   </t>
  </si>
  <si>
    <t>Contractor Name:</t>
  </si>
  <si>
    <t>Contractor Code:</t>
  </si>
  <si>
    <t>Project Manager:</t>
  </si>
  <si>
    <t>Design Individual</t>
  </si>
  <si>
    <t>Laboratory</t>
  </si>
  <si>
    <t xml:space="preserve">QC plan submitted?   </t>
  </si>
  <si>
    <t>421-B</t>
  </si>
  <si>
    <t>Emulsion Producer</t>
  </si>
  <si>
    <t>Emulsion PS Code</t>
  </si>
  <si>
    <t>Mineral Filler Producer</t>
  </si>
  <si>
    <t>Mineral Filler PS Code</t>
  </si>
  <si>
    <t>Contractor Name</t>
  </si>
  <si>
    <t>421E10011 - MICROSURFACING, SURFACE COURSE, AS PER PLAN</t>
  </si>
  <si>
    <t>Project Information</t>
  </si>
  <si>
    <t>421-A</t>
  </si>
  <si>
    <t>Item 421</t>
  </si>
  <si>
    <t>LOWER LIMIT</t>
  </si>
  <si>
    <t>UPPER LIMIT</t>
  </si>
  <si>
    <t>Mineral Filler Information</t>
  </si>
  <si>
    <t>Design</t>
  </si>
  <si>
    <t>Component Materials</t>
  </si>
  <si>
    <t xml:space="preserve">   (0.25 to 3.5% by dry weight of aggregates)</t>
  </si>
  <si>
    <t xml:space="preserve">   (As required to produce proper mix consistency)</t>
  </si>
  <si>
    <t xml:space="preserve">   (7.0 to 8.5% for 421-A and 6.5 to 8.0% for 421-B)</t>
  </si>
  <si>
    <t>Near Spin</t>
  </si>
  <si>
    <t>Latex Type</t>
  </si>
  <si>
    <t>Latex App. Rate</t>
  </si>
  <si>
    <t xml:space="preserve">  Wet Cohesion, kg-cm @ 30 minutes </t>
  </si>
  <si>
    <t xml:space="preserve">  Wet Cohesion, kg-cm @ 60 minutes</t>
  </si>
  <si>
    <t xml:space="preserve">  Wet Stripping, %</t>
  </si>
  <si>
    <t xml:space="preserve">  Wet Track Abrasion Loss, 1-hour soak</t>
  </si>
  <si>
    <t xml:space="preserve">  Wet Track Abrasion Loss, 6-day soak</t>
  </si>
  <si>
    <t xml:space="preserve">  Saturated Abrasion Compatibility, g</t>
  </si>
  <si>
    <t xml:space="preserve">  Mixing Time @ 25°C, sec</t>
  </si>
  <si>
    <t xml:space="preserve">  Mixing Time @ 40°C, sec</t>
  </si>
  <si>
    <t>Normal</t>
  </si>
  <si>
    <t>V</t>
  </si>
  <si>
    <t>B</t>
  </si>
  <si>
    <t>C</t>
  </si>
  <si>
    <t>D</t>
  </si>
  <si>
    <t>F</t>
  </si>
  <si>
    <r>
      <t>Factor for the measure (1/ft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</si>
  <si>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Volume of measure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</si>
  <si>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Weight of water, plate glass, and measure (lb)</t>
  </si>
  <si>
    <t>Weight of plate glass and measure (lb)</t>
  </si>
  <si>
    <r>
      <t>Unit weight of water (lb/ft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</si>
  <si>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Aggregate 1</t>
  </si>
  <si>
    <t>Agg. 1 LA Abrasion</t>
  </si>
  <si>
    <t>Agg. 1 Sodium Sulfate Soundness</t>
  </si>
  <si>
    <t>Aggregate Source Gradation</t>
  </si>
  <si>
    <t>Wet Sieving</t>
  </si>
  <si>
    <t>g</t>
  </si>
  <si>
    <t>Dry Sieving</t>
  </si>
  <si>
    <t>Pan</t>
  </si>
  <si>
    <t>AGG. 1 SOURCE</t>
  </si>
  <si>
    <t>AGG. 1 LAB</t>
  </si>
  <si>
    <t>AGG. 2 SOURCE</t>
  </si>
  <si>
    <t>AGG. 2 LAB</t>
  </si>
  <si>
    <t>Agg. 2 LA Abrasion</t>
  </si>
  <si>
    <t>Agg. 2 Sodium Sulfate Soundness</t>
  </si>
  <si>
    <t>Blend Gradation</t>
  </si>
  <si>
    <t>Aggregate Properties</t>
  </si>
  <si>
    <t>Agg. Blend</t>
  </si>
  <si>
    <t>AGG. SOURCE GRAD.</t>
  </si>
  <si>
    <t>AGG. BLEND</t>
  </si>
  <si>
    <t xml:space="preserve">Avg. LA Abrasion =  </t>
  </si>
  <si>
    <t xml:space="preserve">Avg. Soundness =  </t>
  </si>
  <si>
    <t>40 max.</t>
  </si>
  <si>
    <t>15 max.</t>
  </si>
  <si>
    <t>Effect of Moisture on Dry Unit Weight of Aggregates (AASHTO T 19)</t>
  </si>
  <si>
    <t>Volume of Measure</t>
  </si>
  <si>
    <t>Dry Unit Weight Versus % Moisture</t>
  </si>
  <si>
    <t>1.</t>
  </si>
  <si>
    <t>Weight of aggregate and</t>
  </si>
  <si>
    <t>2.</t>
  </si>
  <si>
    <t>3.</t>
  </si>
  <si>
    <t>4.</t>
  </si>
  <si>
    <t>Moist unit weight of aggregates,</t>
  </si>
  <si>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 xml:space="preserve"> = (</t>
    </r>
    <r>
      <rPr>
        <i/>
        <sz val="10"/>
        <rFont val="Arial"/>
        <family val="2"/>
      </rPr>
      <t>G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) / 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 xml:space="preserve"> (lb/ft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</si>
  <si>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% Moisture (by dry weight</t>
  </si>
  <si>
    <t>of aggregates) (%)</t>
  </si>
  <si>
    <t>5.</t>
  </si>
  <si>
    <t>6.</t>
  </si>
  <si>
    <t>Dry unit weight of aggregates,</t>
  </si>
  <si>
    <r>
      <t>(lb/ft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</si>
  <si>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Weight of aggregate, </t>
    </r>
    <r>
      <rPr>
        <i/>
        <sz val="10"/>
        <rFont val="Arial"/>
        <family val="2"/>
      </rPr>
      <t/>
    </r>
  </si>
  <si>
    <r>
      <rPr>
        <i/>
        <sz val="10"/>
        <rFont val="Arial"/>
        <family val="2"/>
      </rPr>
      <t>G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(lb)</t>
    </r>
  </si>
  <si>
    <r>
      <t>Weight of measure,</t>
    </r>
    <r>
      <rPr>
        <i/>
        <sz val="10"/>
        <rFont val="Arial"/>
        <family val="2"/>
      </rPr>
      <t/>
    </r>
  </si>
  <si>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(lb)</t>
    </r>
  </si>
  <si>
    <r>
      <t>Water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F)</t>
    </r>
  </si>
  <si>
    <r>
      <rPr>
        <sz val="10"/>
        <rFont val="Symbol"/>
        <family val="1"/>
        <charset val="2"/>
      </rPr>
      <t>g</t>
    </r>
    <r>
      <rPr>
        <vertAlign val="subscript"/>
        <sz val="10"/>
        <rFont val="Arial"/>
        <family val="2"/>
      </rPr>
      <t xml:space="preserve"> dry</t>
    </r>
    <r>
      <rPr>
        <sz val="10"/>
        <rFont val="Arial"/>
        <family val="2"/>
      </rPr>
      <t xml:space="preserve"> = 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 xml:space="preserve"> / (1 + % Moisture)</t>
    </r>
  </si>
  <si>
    <r>
      <rPr>
        <sz val="10"/>
        <rFont val="Symbol"/>
        <family val="1"/>
        <charset val="2"/>
      </rPr>
      <t>g</t>
    </r>
    <r>
      <rPr>
        <vertAlign val="subscript"/>
        <sz val="10"/>
        <rFont val="Arial"/>
        <family val="2"/>
      </rPr>
      <t xml:space="preserve"> dry</t>
    </r>
  </si>
  <si>
    <t xml:space="preserve">Design individual and laboratory:   </t>
  </si>
  <si>
    <r>
      <t xml:space="preserve">measure, </t>
    </r>
    <r>
      <rPr>
        <i/>
        <sz val="10"/>
        <rFont val="Arial"/>
        <family val="2"/>
      </rPr>
      <t>G</t>
    </r>
    <r>
      <rPr>
        <sz val="10"/>
        <rFont val="Arial"/>
        <family val="2"/>
      </rPr>
      <t xml:space="preserve"> (lb)</t>
    </r>
  </si>
  <si>
    <t>06645-01</t>
  </si>
  <si>
    <t xml:space="preserve">ARMSTRONG CEMENT &amp; SUPPLY, CABOT, PA </t>
  </si>
  <si>
    <t>06585-01</t>
  </si>
  <si>
    <t>BUZZI UNICEM, CAPE GIRARDEAU, MO</t>
  </si>
  <si>
    <t>06885-01</t>
  </si>
  <si>
    <t>BUZZI UNICEM, FESTUS, MO</t>
  </si>
  <si>
    <t>06586-01</t>
  </si>
  <si>
    <t>BUZZI UNICEM, GREENCASTLE, IN</t>
  </si>
  <si>
    <t>06875-01</t>
  </si>
  <si>
    <t>BUZZI UNICEM, CHATTANOOGA, TN</t>
  </si>
  <si>
    <t>06610-01</t>
  </si>
  <si>
    <t>BUZZI UNICEM, CINCINNATI, OH</t>
  </si>
  <si>
    <t>06564-01</t>
  </si>
  <si>
    <t xml:space="preserve">CEMEX, FAIRBORN, OH </t>
  </si>
  <si>
    <t>06590-01</t>
  </si>
  <si>
    <t>CEMEX/KOSMOS, LOUISVILLE, KY</t>
  </si>
  <si>
    <t>06614-01</t>
  </si>
  <si>
    <t>CEMEX, CEREDO, W VA</t>
  </si>
  <si>
    <t xml:space="preserve">06615-01 </t>
  </si>
  <si>
    <t>CEMEX, S. CHARLESTON, W VA</t>
  </si>
  <si>
    <t>06617-01</t>
  </si>
  <si>
    <t>CEMEX, CINCINNATI, OHIO</t>
  </si>
  <si>
    <t>06654-01</t>
  </si>
  <si>
    <t>CEMEX, COLUMBUS, (BLACKLICK) OH</t>
  </si>
  <si>
    <t>06613-01</t>
  </si>
  <si>
    <t>CEMEX, DETROIT, MI</t>
  </si>
  <si>
    <t>06591-01</t>
  </si>
  <si>
    <t>CEMEX, NEVILLE ISLAND, PA</t>
  </si>
  <si>
    <t>06783-01</t>
  </si>
  <si>
    <t>CEMEX, XENIA, OH</t>
  </si>
  <si>
    <t>06812-01</t>
  </si>
  <si>
    <t>CEMEX, INDIANAPOLIS</t>
  </si>
  <si>
    <t>06588-01</t>
  </si>
  <si>
    <t>CEMEX, WAMPUM, PA</t>
  </si>
  <si>
    <t>​06575-01</t>
  </si>
  <si>
    <t>​CRH CANADA GROUP, INC., MISSISSAUGA, ONT.</t>
  </si>
  <si>
    <t>06604-01</t>
  </si>
  <si>
    <t>​CRH CANADA GROUP, INC., BUFFALO, NEW YORK</t>
  </si>
  <si>
    <t>06606-01</t>
  </si>
  <si>
    <t>CHR CANADA GROUP, INC., INDEPENDENCE, OHIO</t>
  </si>
  <si>
    <t>06607-01</t>
  </si>
  <si>
    <t>CHR CANADA GROUP, INC., DUNDEE, MICHIGAN</t>
  </si>
  <si>
    <t>06566-01</t>
  </si>
  <si>
    <t xml:space="preserve">ESSROC Italcementi Group, LOGANSPORT, INDIANA </t>
  </si>
  <si>
    <t>06567-01</t>
  </si>
  <si>
    <t>ESSROC Italcementi Group, NAZARETH, PA.,PLT #1</t>
  </si>
  <si>
    <t xml:space="preserve">06509-01 </t>
  </si>
  <si>
    <t xml:space="preserve">ESSROC  Italcementi Group, NAZARETH, PA.,PLT #3 </t>
  </si>
  <si>
    <t>06580-01</t>
  </si>
  <si>
    <t xml:space="preserve">ESSROC Italcementi Group, PICTON, ONT. </t>
  </si>
  <si>
    <t>06569-01</t>
  </si>
  <si>
    <t xml:space="preserve">ESSROC Italcementi Group, SPEED, INDIANA </t>
  </si>
  <si>
    <t>06772-01</t>
  </si>
  <si>
    <t>ESSROC Italcementi Group, MARTINSBURG, WV</t>
  </si>
  <si>
    <t>06519-01</t>
  </si>
  <si>
    <t>ESSROC Italcement Group, DEVNYA, BULGARIA</t>
  </si>
  <si>
    <t>06565-01</t>
  </si>
  <si>
    <t xml:space="preserve">ESSROC Italcementi Group, FREDERICK, MD. </t>
  </si>
  <si>
    <t>06568-01</t>
  </si>
  <si>
    <t>ESSROC Italcementi Group, BESSEMER,PA</t>
  </si>
  <si>
    <t xml:space="preserve">06593-01 </t>
  </si>
  <si>
    <t>ESSROC Italcementi Group, CINCINNATI, OHIO</t>
  </si>
  <si>
    <t>06594-01</t>
  </si>
  <si>
    <t>ESSROC Italcementi Group, COLUMBUS, OHIO</t>
  </si>
  <si>
    <t>06630-01</t>
  </si>
  <si>
    <t>ESSROC Italcementi Group, LEETSDALE, PA.</t>
  </si>
  <si>
    <t>06691-01</t>
  </si>
  <si>
    <t>ESSROC Italcementi Group, MIDDLEBRANCH</t>
  </si>
  <si>
    <t>06595-01</t>
  </si>
  <si>
    <t xml:space="preserve">ESSROCItalcementi Group, ESSEXVILLE, MI. </t>
  </si>
  <si>
    <t>06596-01</t>
  </si>
  <si>
    <t>ESSROC Italcementi Group, NITRO, W VA</t>
  </si>
  <si>
    <t>06598-01</t>
  </si>
  <si>
    <t>ESSROC Italcementi Group, WILDER, KY</t>
  </si>
  <si>
    <t>06790-01</t>
  </si>
  <si>
    <t>ESSROC Italcementi Group, CLEVELAND, OHIO</t>
  </si>
  <si>
    <t>06574-01</t>
  </si>
  <si>
    <t>HOLCIM (US) INC., HOLLY HILL, S.C.(SANTEE)</t>
  </si>
  <si>
    <t>06575-01</t>
  </si>
  <si>
    <t>HOLCIM (US) INC., MISSISSAUGA, ONT.  </t>
  </si>
  <si>
    <t>06868-01</t>
  </si>
  <si>
    <t>HOLCIM (US) INC., STE. GENEVIEVE, MO(BLOOMSDALE)</t>
  </si>
  <si>
    <t xml:space="preserve">06673-01 </t>
  </si>
  <si>
    <t> HOLCIM (US) INC., THEODORE, AL     </t>
  </si>
  <si>
    <t>06676-01 </t>
  </si>
  <si>
    <t>HOLCIM (US) INC, MILAKI, GREECE</t>
  </si>
  <si>
    <t>06573-01</t>
  </si>
  <si>
    <t xml:space="preserve">HOLCIM (US) INC., DUNDEE, MICHIGAN </t>
  </si>
  <si>
    <t>06749-01</t>
  </si>
  <si>
    <t xml:space="preserve">HOLCIM (US) INC.,CHARLESTOWN, W VA </t>
  </si>
  <si>
    <t>06600-01</t>
  </si>
  <si>
    <t>HOLCIM (US) INC., CINCINNATI, OHIO</t>
  </si>
  <si>
    <t>06601-01</t>
  </si>
  <si>
    <t>HOLCIM (US) INC., CLEVELAND, OHIO</t>
  </si>
  <si>
    <t>06770-01</t>
  </si>
  <si>
    <t>HOLCIM (US) INC., DETROIT, MI</t>
  </si>
  <si>
    <t>06571-01</t>
  </si>
  <si>
    <t>HOLCIM (US) INC., ARTESIA, MISSISSIPPI </t>
  </si>
  <si>
    <t>06579-01</t>
  </si>
  <si>
    <t xml:space="preserve">LAFARGE CORP, ALPENA, MICHIGAN </t>
  </si>
  <si>
    <t>06578-01</t>
  </si>
  <si>
    <t xml:space="preserve">LAFARGE CORP, BATH, ONTARIO, CANADA </t>
  </si>
  <si>
    <t>06709-01</t>
  </si>
  <si>
    <t xml:space="preserve">LAFARGE CORP, DAVENPORT, IA </t>
  </si>
  <si>
    <t>06619-01</t>
  </si>
  <si>
    <t xml:space="preserve">LAFARGE CORP, (JOPPA) GRAND CHAIN, IL. </t>
  </si>
  <si>
    <t>06576-01</t>
  </si>
  <si>
    <t xml:space="preserve">LAFARGE CORP, PAULDING, OH </t>
  </si>
  <si>
    <t>06581-01</t>
  </si>
  <si>
    <t xml:space="preserve">LAFARGE CORP, WHITEHALL, PA </t>
  </si>
  <si>
    <t>06631-01</t>
  </si>
  <si>
    <t>LAFARGE CORPORATION, BELPRE, OH</t>
  </si>
  <si>
    <t>06603-01</t>
  </si>
  <si>
    <t>LAFARGE CORPORATION, CLEVELAND, OH</t>
  </si>
  <si>
    <t>LAFARGE CORPORATION, COLUMBUS, OH</t>
  </si>
  <si>
    <t>06605-01</t>
  </si>
  <si>
    <t>LAFARGE CORPORATION, DETROIT, MI</t>
  </si>
  <si>
    <t>LAFARGE CORPORATION, TOLEDO, OH</t>
  </si>
  <si>
    <t>06582-01</t>
  </si>
  <si>
    <t xml:space="preserve">LEHIGH CEMENT CO., LEEDS, ALABAMA </t>
  </si>
  <si>
    <t>06563-01</t>
  </si>
  <si>
    <t xml:space="preserve">LEHIGH CEMENT CO., MITCHELL, INDIANA </t>
  </si>
  <si>
    <t>06583-01</t>
  </si>
  <si>
    <t xml:space="preserve">LEHIGH CEMENT CO., UNION BRIDGE, MD </t>
  </si>
  <si>
    <t>06608-01</t>
  </si>
  <si>
    <t>LEHIGH CEMENT CO., ANDERSON, IN</t>
  </si>
  <si>
    <t>06609-01</t>
  </si>
  <si>
    <t>LEHIGH CEMENT CO., CINCINNATI, OH</t>
  </si>
  <si>
    <t>06809-01</t>
  </si>
  <si>
    <t>LEHIGH CEMENT CO., ALLAQUIPPA, PA</t>
  </si>
  <si>
    <t>06592-01</t>
  </si>
  <si>
    <t xml:space="preserve">ST. MARYS CEMENT, DETROIT, MICHIGAN </t>
  </si>
  <si>
    <t>06665-01</t>
  </si>
  <si>
    <t>ST. MARYS CEMENT,  BOWMANVILLE, ONT.</t>
  </si>
  <si>
    <t>06587-01</t>
  </si>
  <si>
    <t xml:space="preserve">ST. MARYS CEMENT, CHARLEVOIX, MI </t>
  </si>
  <si>
    <t>06666-01</t>
  </si>
  <si>
    <t xml:space="preserve">ST. MARYS CEMENT, ST. MARYS, ONT. </t>
  </si>
  <si>
    <t>06803-01</t>
  </si>
  <si>
    <t>ST. MARYS CEMENT INC., BUFFALO, NY</t>
  </si>
  <si>
    <t>06664-01</t>
  </si>
  <si>
    <t xml:space="preserve">ST. MARYS CEMENT INC., JEFFERSON AVE. CLEVELAND, OHIO </t>
  </si>
  <si>
    <t>06611-01</t>
  </si>
  <si>
    <t>ST. MARYS CEMENT INC., COLUMBUS RD., CLEVELAND, OHIO</t>
  </si>
  <si>
    <t>06804-01</t>
  </si>
  <si>
    <t>ST. MARYS CEMENT INC., MARYSVILLE, OHIO</t>
  </si>
  <si>
    <t>06612-01</t>
  </si>
  <si>
    <t>ST. MARYS CEMENT INC., TOLDEO, OH</t>
  </si>
  <si>
    <t>1 max.</t>
  </si>
  <si>
    <t>Mineral Filler Mat. Code</t>
  </si>
  <si>
    <t>Emulsion Mat. Code</t>
  </si>
  <si>
    <t>Moisture Content</t>
  </si>
  <si>
    <t>Weight of pan</t>
  </si>
  <si>
    <t>Weight of pan + moist aggregate</t>
  </si>
  <si>
    <t>Weight of pan + dry aggregate</t>
  </si>
  <si>
    <t>Weight of moist aggregate</t>
  </si>
  <si>
    <t>Weight of dry aggregate</t>
  </si>
  <si>
    <t>%</t>
  </si>
  <si>
    <t>(Same as weight of dry aggregate)</t>
  </si>
  <si>
    <t>Start P-200 wash weight</t>
  </si>
  <si>
    <t>After P-200 wash weight</t>
  </si>
  <si>
    <t>Start weight</t>
  </si>
  <si>
    <t>Tare    Weight (g)</t>
  </si>
  <si>
    <t>Total    Weight (g)</t>
  </si>
  <si>
    <t>Agg.    Weight (g)</t>
  </si>
  <si>
    <t>(Same as after P-200 wash weight)</t>
  </si>
  <si>
    <t>Laboratory Gradation Verfication (Optional)</t>
  </si>
  <si>
    <t xml:space="preserve">Weight loss =  </t>
  </si>
  <si>
    <t xml:space="preserve">  %</t>
  </si>
  <si>
    <t>(Weight Loss ≤ 1%)</t>
  </si>
  <si>
    <t>LAB VER. (OPTIONAL)</t>
  </si>
  <si>
    <t>LAB VER.</t>
  </si>
  <si>
    <t>Lab Ver.</t>
  </si>
  <si>
    <t>AMERICAN PAVING, INC</t>
  </si>
  <si>
    <t>01524-01</t>
  </si>
  <si>
    <t>01528-01</t>
  </si>
  <si>
    <t>Error Check:</t>
  </si>
  <si>
    <t>Details:</t>
  </si>
  <si>
    <t xml:space="preserve">   Solubility in Trichloroethylene (%) [3]</t>
  </si>
  <si>
    <t>Agg. 1 Mat. Code</t>
  </si>
  <si>
    <t>Agg. 2 Mat. Code</t>
  </si>
  <si>
    <t>421A</t>
  </si>
  <si>
    <t>421B</t>
  </si>
  <si>
    <t>Check agg. mat. Code for 421-A and crushed gravel.</t>
  </si>
  <si>
    <t>05+3+421A</t>
  </si>
  <si>
    <t xml:space="preserve">   Sieve Test (%) (Distilled Water)</t>
  </si>
  <si>
    <t>421E10010 - MICROSURFACING, SURFACE COURSE</t>
  </si>
  <si>
    <t>421E10020 - MICROSURFACING, LEVELING COURSE</t>
  </si>
  <si>
    <t>421E10021 - MICROSURFACING, LEVELING COURSE, AS PER PLAN</t>
  </si>
  <si>
    <t>421E10030 - MICROSURFACING, RUT FILL COURSE</t>
  </si>
  <si>
    <t>881E10000 - MICROSURFACING WITH WARRANTY, SINGLE COURSE</t>
  </si>
  <si>
    <t>881E10001 - MICROSURFACING WITH WARRANTY, SINGLE COURSE, AS PER PLAN</t>
  </si>
  <si>
    <t>881E20000 - MICROSURFACING WITH WARRANTY, MULTIPLE COURSE</t>
  </si>
  <si>
    <t>881E20001 - MICROSURFACING WITH WARRANTY, MULTIPLE COURSE, AS PER PLAN</t>
  </si>
  <si>
    <t>Undefined</t>
  </si>
  <si>
    <t>Item_Code_Emulsion</t>
  </si>
  <si>
    <t>Item_Code_Mineral_Filler</t>
  </si>
  <si>
    <t>0.10 max.</t>
  </si>
  <si>
    <t>Latex Modification?</t>
  </si>
  <si>
    <t>Water pH</t>
  </si>
  <si>
    <t>Additive Producer</t>
  </si>
  <si>
    <t xml:space="preserve"> </t>
  </si>
  <si>
    <t>TB 109</t>
  </si>
  <si>
    <t>TB 147</t>
  </si>
  <si>
    <r>
      <t>538 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max.</t>
    </r>
  </si>
  <si>
    <t xml:space="preserve">  Lateral Displacement, %</t>
  </si>
  <si>
    <r>
      <t xml:space="preserve">  Excess Binder, g/m</t>
    </r>
    <r>
      <rPr>
        <vertAlign val="superscript"/>
        <sz val="10"/>
        <rFont val="Arial"/>
        <family val="2"/>
      </rPr>
      <t>2</t>
    </r>
  </si>
  <si>
    <t>5% max.</t>
  </si>
  <si>
    <t xml:space="preserve">  Specific Gravity after 1,000 cycles of 125 lbs</t>
  </si>
  <si>
    <t>Mix Test Results at Other Residual Asphalt Contents (Optional)</t>
  </si>
  <si>
    <t>% Total Water (Includes Agg. Moist.)</t>
  </si>
  <si>
    <t>Mix Test Results at Design Target Residual Asphalt Content</t>
  </si>
  <si>
    <t>2 max.</t>
  </si>
  <si>
    <t>50 min.</t>
  </si>
  <si>
    <t>Last Modified</t>
  </si>
  <si>
    <t>Proposal Line Number(s)</t>
  </si>
  <si>
    <t>AASHTO Re:Source No.:</t>
  </si>
  <si>
    <t>55 min.</t>
  </si>
  <si>
    <t>Controllable to 60 seconds min.</t>
  </si>
  <si>
    <t>PAVEMENT MAINTENANCE SYSTEMS, LLC</t>
  </si>
  <si>
    <t>STRAWSER CONSTRUCTION, INC.</t>
  </si>
  <si>
    <t>MICROSURFACING CONTRACTOR LLC</t>
  </si>
  <si>
    <t>01532-01</t>
  </si>
  <si>
    <r>
      <rPr>
        <sz val="10"/>
        <rFont val="Calibri"/>
        <family val="2"/>
      </rPr>
      <t>±</t>
    </r>
    <r>
      <rPr>
        <sz val="11.5"/>
        <rFont val="Arial"/>
        <family val="2"/>
      </rPr>
      <t>0.5% max</t>
    </r>
  </si>
  <si>
    <r>
      <rPr>
        <sz val="10"/>
        <rFont val="Calibri"/>
        <family val="2"/>
      </rPr>
      <t>±</t>
    </r>
    <r>
      <rPr>
        <sz val="11.5"/>
        <rFont val="Arial"/>
        <family val="2"/>
      </rPr>
      <t>1.5% max</t>
    </r>
  </si>
  <si>
    <t>Supply allowable pH of water</t>
  </si>
  <si>
    <t>% Undiluted Mix Set Additive</t>
  </si>
  <si>
    <t xml:space="preserve">   (As needed to achieve proper mix consistency &amp; set time)</t>
  </si>
  <si>
    <r>
      <rPr>
        <sz val="10"/>
        <rFont val="Calibri"/>
        <family val="2"/>
      </rPr>
      <t>±</t>
    </r>
    <r>
      <rPr>
        <sz val="11.5"/>
        <rFont val="Arial"/>
        <family val="2"/>
      </rPr>
      <t>0.2% max</t>
    </r>
  </si>
  <si>
    <t>Dilution Rate of water to additive in paver</t>
  </si>
  <si>
    <t>:</t>
  </si>
  <si>
    <t>Min Residual Asphalt</t>
  </si>
  <si>
    <t>Max Residual Asphalt</t>
  </si>
  <si>
    <t>2 g loss max.</t>
  </si>
  <si>
    <t>% Water</t>
  </si>
  <si>
    <t>% Undiluted Additive</t>
  </si>
  <si>
    <t>Description</t>
  </si>
  <si>
    <t>Min Cement</t>
  </si>
  <si>
    <t>Max Cement</t>
  </si>
  <si>
    <t>Min Total Water</t>
  </si>
  <si>
    <t>Max Total Water</t>
  </si>
  <si>
    <t>Min Additive</t>
  </si>
  <si>
    <t>Max Additive</t>
  </si>
  <si>
    <t>Min Cement &amp; Additive</t>
  </si>
  <si>
    <t>Max Cement &amp; Additive</t>
  </si>
  <si>
    <t>This Excel file represents the JMF packet for 421 Microsurfacing Mix</t>
  </si>
  <si>
    <t>11 lbs of aggregate, 1 quart of CSS-1hM, 100 g of Type 1 Cement, 1 pint of undiluted additive</t>
  </si>
  <si>
    <t>Application Use?</t>
  </si>
  <si>
    <t>Conditioning Temperature, deg F</t>
  </si>
  <si>
    <t>50, 77, or 104 deg F</t>
  </si>
  <si>
    <t>Required</t>
  </si>
  <si>
    <t>Additional, if needed</t>
  </si>
  <si>
    <t>If additives are used, then include these four at minimum</t>
  </si>
  <si>
    <t>Trap Rock</t>
  </si>
  <si>
    <t>Spec Book</t>
  </si>
  <si>
    <t>SS-800 Dates</t>
  </si>
  <si>
    <t>01522-01</t>
  </si>
  <si>
    <t>Aggregate 2 (if needed)</t>
  </si>
  <si>
    <t>Please do not submit the JMF packet with any missing or incorrect information.</t>
  </si>
  <si>
    <t>If any information is missing from this packet (such as producer, plant, or aggregate PS codes), please contact Mr. Eric Biehl or Mr. Steve McAvoy of ODOT Asphalt Section.</t>
  </si>
  <si>
    <t>Surface Only</t>
  </si>
  <si>
    <t>Surface and Leveling</t>
  </si>
  <si>
    <t>Leveling Only</t>
  </si>
  <si>
    <t>Rut Fill</t>
  </si>
  <si>
    <t>Type A can be used for surface &amp; leveling courses. Type B on leveling and rut fill courses.</t>
  </si>
  <si>
    <t>START WITH TRANS COV AND FILL OUT INFORMATION NECESSARY IN YELLOW AND ORANGE CELLS. LEAVE YELLOW CELLS BLANK IF NO DATA IS NEEDED FOR THEM.</t>
  </si>
  <si>
    <r>
      <t xml:space="preserve">  Wet Cohesion, kg-cm @ 30 minutes @ 77</t>
    </r>
    <r>
      <rPr>
        <sz val="10"/>
        <rFont val="Calibri"/>
        <family val="2"/>
      </rPr>
      <t>°</t>
    </r>
    <r>
      <rPr>
        <sz val="10"/>
        <rFont val="Arial"/>
        <family val="2"/>
      </rPr>
      <t>F</t>
    </r>
  </si>
  <si>
    <t xml:space="preserve">  Wet Cohesion, kg-cm @ 60 minutes @ 77°F</t>
  </si>
  <si>
    <t>Condition Temperature</t>
  </si>
  <si>
    <t xml:space="preserve">  Wet Cohesion, kg-cm @ 30 minutes</t>
  </si>
  <si>
    <r>
      <t xml:space="preserve">Highest Expected Temperature, </t>
    </r>
    <r>
      <rPr>
        <sz val="10"/>
        <rFont val="Calibri"/>
        <family val="2"/>
      </rPr>
      <t>°</t>
    </r>
    <r>
      <rPr>
        <sz val="10"/>
        <rFont val="Arial"/>
        <family val="2"/>
      </rPr>
      <t>F</t>
    </r>
  </si>
  <si>
    <t>Additive Type</t>
  </si>
  <si>
    <t>% AC</t>
  </si>
  <si>
    <t>Excess Asphalt</t>
  </si>
  <si>
    <t>Wet Track Abrasion, 6 day</t>
  </si>
  <si>
    <t>Wet Track Abrasion, 1 hour</t>
  </si>
  <si>
    <t>(Page 2 out of 8)</t>
  </si>
  <si>
    <t>(Page 1 out of 8)</t>
  </si>
  <si>
    <t>(Page 3 out of 8)</t>
  </si>
  <si>
    <t>asphalt</t>
  </si>
  <si>
    <t>(Page 4 out of 8)</t>
  </si>
  <si>
    <t>(Page 5 out of 8)</t>
  </si>
  <si>
    <t>(Page 6 out of 8)</t>
  </si>
  <si>
    <t>(Page 7 out of 8)</t>
  </si>
  <si>
    <t>(Page 8 out of 8)</t>
  </si>
  <si>
    <t>John Smith</t>
  </si>
  <si>
    <t>Operations Manager</t>
  </si>
  <si>
    <t>Smith Micro Paving</t>
  </si>
  <si>
    <t>1234 Smith Street</t>
  </si>
  <si>
    <t>Jamestown</t>
  </si>
  <si>
    <t>Ohio</t>
  </si>
  <si>
    <t>614-555-5555</t>
  </si>
  <si>
    <t>740-555-5555</t>
  </si>
  <si>
    <t>jsmith@smithmicropaving.com</t>
  </si>
  <si>
    <t>18-5555</t>
  </si>
  <si>
    <t>US-33</t>
  </si>
  <si>
    <t>Thomas Gates</t>
  </si>
  <si>
    <t>614-555-5556</t>
  </si>
  <si>
    <t>740-555-5556</t>
  </si>
  <si>
    <t>tgates@smithmicropaving.com</t>
  </si>
  <si>
    <t>Thomas Smith</t>
  </si>
  <si>
    <t>Designer 1</t>
  </si>
  <si>
    <t>614-555-5557</t>
  </si>
  <si>
    <t>740-555-5557</t>
  </si>
  <si>
    <t>Smith Lab</t>
  </si>
  <si>
    <t>Jamestown, OH</t>
  </si>
  <si>
    <t>555555-A55</t>
  </si>
  <si>
    <t>Yes</t>
  </si>
  <si>
    <t>SMITH MICRO PAVING</t>
  </si>
  <si>
    <t>55555-55</t>
  </si>
  <si>
    <t>Max Cement/Min Additive</t>
  </si>
  <si>
    <t>Smith Chemical @ Jamestown, OH</t>
  </si>
  <si>
    <t>Liquid Amine 220</t>
  </si>
  <si>
    <t>Synthetic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</si>
</sst>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00"/>
    <numFmt numFmtId="166" formatCode="mm/dd/yy"/>
    <numFmt numFmtId="167" formatCode="[&lt;=9999999]###\-####;\(###\)\ ###\-####"/>
    <numFmt numFmtId="168" formatCode="0000"/>
    <numFmt numFmtId="169" formatCode="00"/>
    <numFmt numFmtId="170" formatCode="0.000000"/>
    <numFmt numFmtId="171" formatCode="0.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u/>
      <sz val="10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b/>
      <sz val="9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2D597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" fillId="0" borderId="0"/>
    <xf numFmtId="0" fontId="5" fillId="0" borderId="0"/>
  </cellStyleXfs>
  <cellXfs count="441">
    <xf numFmtId="0" fontId="0" fillId="0" borderId="0" xfId="0"/>
    <xf numFmtId="0" fontId="28" fillId="4" borderId="1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Alignment="1"/>
    <xf numFmtId="0" fontId="17" fillId="6" borderId="0" xfId="0" applyFont="1" applyFill="1" applyAlignment="1" applyProtection="1">
      <alignment horizontal="right" vertical="center"/>
    </xf>
    <xf numFmtId="0" fontId="0" fillId="9" borderId="0" xfId="0" applyFill="1"/>
    <xf numFmtId="49" fontId="0" fillId="9" borderId="0" xfId="0" applyNumberFormat="1" applyFill="1" applyAlignment="1">
      <alignment horizontal="center" vertical="center"/>
    </xf>
    <xf numFmtId="49" fontId="15" fillId="9" borderId="0" xfId="0" applyNumberFormat="1" applyFont="1" applyFill="1" applyAlignment="1">
      <alignment horizontal="center" vertical="center"/>
    </xf>
    <xf numFmtId="49" fontId="12" fillId="9" borderId="0" xfId="5" applyNumberFormat="1" applyFill="1" applyBorder="1" applyAlignment="1">
      <alignment horizontal="center" vertical="center"/>
    </xf>
    <xf numFmtId="49" fontId="11" fillId="9" borderId="1" xfId="5" applyNumberFormat="1" applyFont="1" applyFill="1" applyBorder="1" applyAlignment="1">
      <alignment horizontal="center" vertical="center"/>
    </xf>
    <xf numFmtId="49" fontId="12" fillId="9" borderId="1" xfId="5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49" fontId="27" fillId="9" borderId="0" xfId="0" applyNumberFormat="1" applyFont="1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5" fillId="7" borderId="0" xfId="0" applyFont="1" applyFill="1" applyAlignment="1">
      <alignment horizontal="left"/>
    </xf>
    <xf numFmtId="0" fontId="15" fillId="7" borderId="0" xfId="0" applyFont="1" applyFill="1"/>
    <xf numFmtId="0" fontId="16" fillId="7" borderId="0" xfId="0" applyNumberFormat="1" applyFont="1" applyFill="1" applyAlignment="1">
      <alignment vertical="center"/>
    </xf>
    <xf numFmtId="0" fontId="15" fillId="7" borderId="0" xfId="0" applyNumberFormat="1" applyFont="1" applyFill="1" applyAlignment="1">
      <alignment horizontal="center" vertical="center"/>
    </xf>
    <xf numFmtId="0" fontId="15" fillId="7" borderId="0" xfId="0" applyNumberFormat="1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6" fillId="7" borderId="0" xfId="0" applyNumberFormat="1" applyFont="1" applyFill="1" applyAlignment="1">
      <alignment horizontal="centerContinuous" vertical="center"/>
    </xf>
    <xf numFmtId="0" fontId="16" fillId="7" borderId="0" xfId="0" applyNumberFormat="1" applyFont="1" applyFill="1" applyAlignment="1">
      <alignment horizontal="center" vertical="center"/>
    </xf>
    <xf numFmtId="0" fontId="22" fillId="7" borderId="0" xfId="0" applyNumberFormat="1" applyFont="1" applyFill="1" applyBorder="1" applyAlignment="1">
      <alignment horizontal="center" vertical="center"/>
    </xf>
    <xf numFmtId="1" fontId="16" fillId="7" borderId="0" xfId="0" applyNumberFormat="1" applyFont="1" applyFill="1" applyAlignment="1">
      <alignment horizontal="center" vertical="center"/>
    </xf>
    <xf numFmtId="1" fontId="15" fillId="7" borderId="0" xfId="0" applyNumberFormat="1" applyFont="1" applyFill="1" applyBorder="1" applyAlignment="1">
      <alignment horizontal="center" vertical="center"/>
    </xf>
    <xf numFmtId="1" fontId="15" fillId="7" borderId="0" xfId="0" applyNumberFormat="1" applyFont="1" applyFill="1" applyAlignment="1">
      <alignment horizontal="center" vertical="center"/>
    </xf>
    <xf numFmtId="0" fontId="18" fillId="7" borderId="0" xfId="0" applyNumberFormat="1" applyFont="1" applyFill="1" applyBorder="1" applyAlignment="1">
      <alignment horizontal="center" vertical="center"/>
    </xf>
    <xf numFmtId="164" fontId="16" fillId="7" borderId="0" xfId="0" applyNumberFormat="1" applyFont="1" applyFill="1" applyAlignment="1">
      <alignment horizontal="center" vertical="center"/>
    </xf>
    <xf numFmtId="0" fontId="14" fillId="7" borderId="1" xfId="3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14" fillId="9" borderId="1" xfId="3" applyFill="1" applyBorder="1" applyAlignment="1">
      <alignment horizontal="center" vertical="center"/>
    </xf>
    <xf numFmtId="0" fontId="14" fillId="9" borderId="0" xfId="3" applyFill="1" applyAlignment="1">
      <alignment horizontal="center" vertical="center"/>
    </xf>
    <xf numFmtId="0" fontId="14" fillId="9" borderId="0" xfId="3" applyFill="1"/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0" fillId="2" borderId="0" xfId="0" applyFill="1" applyBorder="1" applyAlignment="1"/>
    <xf numFmtId="49" fontId="15" fillId="3" borderId="1" xfId="0" applyNumberFormat="1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6" borderId="0" xfId="0" applyFont="1" applyFill="1" applyAlignment="1" applyProtection="1">
      <alignment vertical="center"/>
    </xf>
    <xf numFmtId="0" fontId="15" fillId="7" borderId="0" xfId="0" applyFont="1" applyFill="1" applyAlignment="1" applyProtection="1">
      <alignment vertical="center"/>
    </xf>
    <xf numFmtId="0" fontId="17" fillId="6" borderId="0" xfId="0" applyFont="1" applyFill="1" applyAlignment="1" applyProtection="1">
      <alignment horizontal="center" vertical="center"/>
    </xf>
    <xf numFmtId="0" fontId="15" fillId="6" borderId="0" xfId="0" applyFont="1" applyFill="1" applyAlignment="1" applyProtection="1">
      <alignment horizontal="center" vertical="center"/>
    </xf>
    <xf numFmtId="164" fontId="17" fillId="6" borderId="0" xfId="0" applyNumberFormat="1" applyFont="1" applyFill="1" applyAlignment="1" applyProtection="1">
      <alignment horizontal="right" vertical="center"/>
    </xf>
    <xf numFmtId="0" fontId="15" fillId="6" borderId="0" xfId="0" applyFont="1" applyFill="1" applyAlignment="1" applyProtection="1">
      <alignment horizontal="right" vertical="center"/>
    </xf>
    <xf numFmtId="0" fontId="26" fillId="6" borderId="0" xfId="0" applyFont="1" applyFill="1" applyAlignment="1" applyProtection="1">
      <alignment horizontal="right" vertical="center"/>
    </xf>
    <xf numFmtId="0" fontId="26" fillId="6" borderId="5" xfId="0" applyFont="1" applyFill="1" applyBorder="1" applyAlignment="1" applyProtection="1">
      <alignment horizontal="right" vertical="center"/>
    </xf>
    <xf numFmtId="0" fontId="27" fillId="6" borderId="0" xfId="0" applyFont="1" applyFill="1" applyAlignment="1" applyProtection="1">
      <alignment vertical="center"/>
    </xf>
    <xf numFmtId="0" fontId="15" fillId="6" borderId="0" xfId="0" applyFont="1" applyFill="1" applyAlignment="1" applyProtection="1">
      <alignment horizontal="left" vertical="center"/>
    </xf>
    <xf numFmtId="0" fontId="17" fillId="6" borderId="0" xfId="0" applyFont="1" applyFill="1" applyBorder="1" applyAlignment="1" applyProtection="1">
      <alignment horizontal="right" vertical="center"/>
    </xf>
    <xf numFmtId="0" fontId="15" fillId="6" borderId="0" xfId="0" applyFont="1" applyFill="1" applyBorder="1" applyAlignment="1" applyProtection="1">
      <alignment vertical="center"/>
    </xf>
    <xf numFmtId="0" fontId="27" fillId="6" borderId="6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1" fontId="15" fillId="7" borderId="0" xfId="0" applyNumberFormat="1" applyFont="1" applyFill="1" applyAlignment="1" applyProtection="1">
      <alignment vertical="center"/>
    </xf>
    <xf numFmtId="0" fontId="27" fillId="9" borderId="0" xfId="0" applyFont="1" applyFill="1" applyBorder="1" applyAlignment="1" applyProtection="1">
      <alignment vertical="center"/>
    </xf>
    <xf numFmtId="0" fontId="27" fillId="6" borderId="0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horizontal="right" vertical="center"/>
    </xf>
    <xf numFmtId="0" fontId="30" fillId="6" borderId="0" xfId="0" applyFont="1" applyFill="1" applyAlignment="1" applyProtection="1">
      <alignment horizontal="right" vertical="center"/>
    </xf>
    <xf numFmtId="0" fontId="17" fillId="7" borderId="0" xfId="0" applyFont="1" applyFill="1" applyAlignment="1" applyProtection="1">
      <alignment vertical="center"/>
    </xf>
    <xf numFmtId="0" fontId="15" fillId="7" borderId="0" xfId="0" applyFont="1" applyFill="1" applyBorder="1" applyAlignment="1" applyProtection="1">
      <alignment vertical="center"/>
    </xf>
    <xf numFmtId="0" fontId="29" fillId="7" borderId="0" xfId="0" applyFont="1" applyFill="1" applyBorder="1" applyAlignment="1" applyProtection="1">
      <alignment vertical="center"/>
    </xf>
    <xf numFmtId="0" fontId="31" fillId="7" borderId="0" xfId="0" applyFont="1" applyFill="1" applyBorder="1" applyAlignment="1" applyProtection="1">
      <alignment horizontal="center" vertical="center"/>
    </xf>
    <xf numFmtId="0" fontId="19" fillId="6" borderId="0" xfId="0" applyFont="1" applyFill="1" applyAlignment="1" applyProtection="1">
      <alignment horizontal="center" vertical="center"/>
    </xf>
    <xf numFmtId="0" fontId="15" fillId="9" borderId="0" xfId="0" applyFont="1" applyFill="1" applyAlignment="1" applyProtection="1">
      <alignment vertical="center"/>
    </xf>
    <xf numFmtId="0" fontId="27" fillId="7" borderId="0" xfId="0" applyFont="1" applyFill="1" applyAlignment="1" applyProtection="1">
      <alignment vertical="center"/>
    </xf>
    <xf numFmtId="0" fontId="15" fillId="0" borderId="0" xfId="2" applyFont="1" applyFill="1" applyBorder="1" applyAlignment="1">
      <alignment horizontal="center"/>
    </xf>
    <xf numFmtId="0" fontId="15" fillId="0" borderId="0" xfId="2" applyFill="1" applyBorder="1" applyAlignment="1">
      <alignment horizontal="center"/>
    </xf>
    <xf numFmtId="0" fontId="15" fillId="0" borderId="0" xfId="2" applyFill="1" applyBorder="1" applyAlignment="1">
      <alignment horizontal="center" vertical="center"/>
    </xf>
    <xf numFmtId="0" fontId="15" fillId="0" borderId="3" xfId="2" applyFill="1" applyBorder="1" applyAlignment="1">
      <alignment horizontal="center"/>
    </xf>
    <xf numFmtId="0" fontId="15" fillId="0" borderId="3" xfId="2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left"/>
    </xf>
    <xf numFmtId="0" fontId="15" fillId="0" borderId="3" xfId="2" applyFont="1" applyFill="1" applyBorder="1" applyAlignment="1">
      <alignment horizontal="left"/>
    </xf>
    <xf numFmtId="0" fontId="15" fillId="6" borderId="7" xfId="0" applyFont="1" applyFill="1" applyBorder="1" applyAlignment="1" applyProtection="1">
      <alignment vertical="center"/>
    </xf>
    <xf numFmtId="0" fontId="15" fillId="5" borderId="0" xfId="2" applyFill="1" applyBorder="1" applyAlignment="1">
      <alignment horizontal="center"/>
    </xf>
    <xf numFmtId="0" fontId="17" fillId="9" borderId="0" xfId="0" applyFont="1" applyFill="1" applyAlignment="1" applyProtection="1">
      <alignment vertical="center"/>
    </xf>
    <xf numFmtId="0" fontId="15" fillId="9" borderId="11" xfId="0" applyFont="1" applyFill="1" applyBorder="1" applyAlignment="1" applyProtection="1">
      <alignment vertical="center"/>
    </xf>
    <xf numFmtId="0" fontId="15" fillId="9" borderId="7" xfId="0" applyFont="1" applyFill="1" applyBorder="1" applyAlignment="1" applyProtection="1">
      <alignment vertical="center"/>
    </xf>
    <xf numFmtId="0" fontId="15" fillId="9" borderId="13" xfId="0" applyFont="1" applyFill="1" applyBorder="1" applyAlignment="1" applyProtection="1">
      <alignment vertical="center"/>
    </xf>
    <xf numFmtId="0" fontId="15" fillId="9" borderId="4" xfId="0" applyFont="1" applyFill="1" applyBorder="1" applyAlignment="1" applyProtection="1">
      <alignment vertical="center"/>
    </xf>
    <xf numFmtId="0" fontId="15" fillId="9" borderId="5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horizontal="right" vertical="center"/>
    </xf>
    <xf numFmtId="0" fontId="15" fillId="9" borderId="3" xfId="0" applyFont="1" applyFill="1" applyBorder="1" applyAlignment="1" applyProtection="1">
      <alignment vertical="center"/>
    </xf>
    <xf numFmtId="0" fontId="15" fillId="9" borderId="6" xfId="0" applyFont="1" applyFill="1" applyBorder="1" applyAlignment="1" applyProtection="1">
      <alignment vertical="center"/>
    </xf>
    <xf numFmtId="0" fontId="15" fillId="9" borderId="14" xfId="0" applyFont="1" applyFill="1" applyBorder="1" applyAlignment="1" applyProtection="1">
      <alignment vertical="center"/>
    </xf>
    <xf numFmtId="0" fontId="17" fillId="6" borderId="0" xfId="0" applyFont="1" applyFill="1" applyAlignment="1" applyProtection="1">
      <alignment vertical="center"/>
    </xf>
    <xf numFmtId="0" fontId="15" fillId="9" borderId="0" xfId="0" applyFont="1" applyFill="1" applyAlignment="1" applyProtection="1">
      <alignment horizontal="center" vertical="center"/>
    </xf>
    <xf numFmtId="0" fontId="27" fillId="9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vertical="center"/>
    </xf>
    <xf numFmtId="0" fontId="15" fillId="9" borderId="0" xfId="0" quotePrefix="1" applyFont="1" applyFill="1" applyAlignment="1" applyProtection="1">
      <alignment vertical="center"/>
    </xf>
    <xf numFmtId="0" fontId="23" fillId="6" borderId="0" xfId="0" applyFont="1" applyFill="1" applyBorder="1" applyAlignment="1" applyProtection="1">
      <alignment vertical="center"/>
    </xf>
    <xf numFmtId="0" fontId="20" fillId="9" borderId="0" xfId="0" applyFont="1" applyFill="1" applyAlignment="1" applyProtection="1">
      <alignment vertical="center"/>
    </xf>
    <xf numFmtId="0" fontId="15" fillId="9" borderId="0" xfId="0" applyFont="1" applyFill="1" applyAlignment="1" applyProtection="1">
      <alignment horizontal="left" vertical="center"/>
    </xf>
    <xf numFmtId="0" fontId="0" fillId="9" borderId="0" xfId="0" applyFont="1" applyFill="1" applyBorder="1" applyAlignment="1" applyProtection="1">
      <alignment horizontal="center" vertical="center"/>
    </xf>
    <xf numFmtId="171" fontId="15" fillId="7" borderId="0" xfId="0" applyNumberFormat="1" applyFont="1" applyFill="1" applyAlignment="1" applyProtection="1">
      <alignment horizontal="center" vertical="center"/>
    </xf>
    <xf numFmtId="164" fontId="15" fillId="7" borderId="0" xfId="0" applyNumberFormat="1" applyFont="1" applyFill="1" applyAlignment="1" applyProtection="1">
      <alignment horizontal="center" vertical="center"/>
    </xf>
    <xf numFmtId="0" fontId="15" fillId="7" borderId="0" xfId="0" applyFont="1" applyFill="1" applyAlignment="1" applyProtection="1">
      <alignment horizontal="center" vertical="center"/>
    </xf>
    <xf numFmtId="0" fontId="39" fillId="7" borderId="0" xfId="0" applyFont="1" applyFill="1" applyAlignment="1" applyProtection="1">
      <alignment horizontal="center" vertical="center"/>
    </xf>
    <xf numFmtId="0" fontId="15" fillId="7" borderId="11" xfId="0" quotePrefix="1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vertical="center" wrapText="1"/>
    </xf>
    <xf numFmtId="0" fontId="15" fillId="7" borderId="6" xfId="0" quotePrefix="1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vertical="center" wrapText="1"/>
    </xf>
    <xf numFmtId="0" fontId="15" fillId="9" borderId="0" xfId="0" applyFont="1" applyFill="1" applyBorder="1" applyAlignment="1" applyProtection="1">
      <alignment horizontal="left" vertical="center"/>
    </xf>
    <xf numFmtId="0" fontId="15" fillId="9" borderId="0" xfId="0" applyFont="1" applyFill="1" applyAlignment="1" applyProtection="1">
      <alignment horizontal="right" vertical="center"/>
    </xf>
    <xf numFmtId="0" fontId="6" fillId="9" borderId="1" xfId="3" applyFont="1" applyFill="1" applyBorder="1" applyAlignment="1">
      <alignment horizontal="center" vertical="center"/>
    </xf>
    <xf numFmtId="0" fontId="7" fillId="9" borderId="1" xfId="26" applyFill="1" applyBorder="1"/>
    <xf numFmtId="0" fontId="7" fillId="9" borderId="1" xfId="26" applyFill="1" applyBorder="1" applyAlignment="1">
      <alignment horizontal="center"/>
    </xf>
    <xf numFmtId="0" fontId="29" fillId="7" borderId="0" xfId="0" applyFont="1" applyFill="1" applyAlignment="1" applyProtection="1">
      <alignment vertical="center"/>
    </xf>
    <xf numFmtId="0" fontId="15" fillId="7" borderId="11" xfId="0" applyFont="1" applyFill="1" applyBorder="1" applyAlignment="1" applyProtection="1">
      <alignment vertical="center"/>
    </xf>
    <xf numFmtId="0" fontId="29" fillId="7" borderId="7" xfId="0" applyFont="1" applyFill="1" applyBorder="1" applyAlignment="1" applyProtection="1">
      <alignment vertical="center"/>
    </xf>
    <xf numFmtId="0" fontId="15" fillId="7" borderId="7" xfId="0" applyFont="1" applyFill="1" applyBorder="1" applyAlignment="1" applyProtection="1">
      <alignment vertical="center"/>
    </xf>
    <xf numFmtId="0" fontId="15" fillId="7" borderId="13" xfId="0" applyFont="1" applyFill="1" applyBorder="1" applyAlignment="1" applyProtection="1">
      <alignment vertical="center"/>
    </xf>
    <xf numFmtId="0" fontId="15" fillId="7" borderId="4" xfId="0" applyFont="1" applyFill="1" applyBorder="1" applyAlignment="1" applyProtection="1">
      <alignment vertical="center"/>
    </xf>
    <xf numFmtId="0" fontId="29" fillId="7" borderId="0" xfId="0" applyFont="1" applyFill="1" applyBorder="1" applyAlignment="1" applyProtection="1">
      <alignment horizontal="left" vertical="center"/>
    </xf>
    <xf numFmtId="0" fontId="15" fillId="7" borderId="5" xfId="0" applyFont="1" applyFill="1" applyBorder="1" applyAlignment="1" applyProtection="1">
      <alignment vertical="center"/>
    </xf>
    <xf numFmtId="0" fontId="15" fillId="7" borderId="6" xfId="0" applyFont="1" applyFill="1" applyBorder="1" applyAlignment="1" applyProtection="1">
      <alignment vertical="center"/>
    </xf>
    <xf numFmtId="0" fontId="29" fillId="7" borderId="3" xfId="0" applyFont="1" applyFill="1" applyBorder="1" applyAlignment="1" applyProtection="1">
      <alignment vertical="center"/>
    </xf>
    <xf numFmtId="0" fontId="15" fillId="7" borderId="3" xfId="0" applyFont="1" applyFill="1" applyBorder="1" applyAlignment="1" applyProtection="1">
      <alignment vertical="center"/>
    </xf>
    <xf numFmtId="0" fontId="15" fillId="7" borderId="14" xfId="0" applyFont="1" applyFill="1" applyBorder="1" applyAlignment="1" applyProtection="1">
      <alignment vertical="center"/>
    </xf>
    <xf numFmtId="0" fontId="31" fillId="7" borderId="4" xfId="0" applyFont="1" applyFill="1" applyBorder="1" applyAlignment="1" applyProtection="1">
      <alignment horizontal="center" vertical="center"/>
    </xf>
    <xf numFmtId="0" fontId="31" fillId="7" borderId="6" xfId="0" applyFont="1" applyFill="1" applyBorder="1" applyAlignment="1" applyProtection="1">
      <alignment horizontal="center" vertical="center"/>
    </xf>
    <xf numFmtId="0" fontId="27" fillId="7" borderId="7" xfId="0" applyFont="1" applyFill="1" applyBorder="1" applyAlignment="1" applyProtection="1">
      <alignment vertical="center"/>
    </xf>
    <xf numFmtId="0" fontId="15" fillId="7" borderId="0" xfId="0" quotePrefix="1" applyFont="1" applyFill="1" applyAlignment="1" applyProtection="1">
      <alignment vertical="center"/>
    </xf>
    <xf numFmtId="0" fontId="15" fillId="2" borderId="0" xfId="2" applyFill="1" applyBorder="1" applyAlignment="1">
      <alignment horizontal="center"/>
    </xf>
    <xf numFmtId="0" fontId="15" fillId="2" borderId="3" xfId="2" applyFill="1" applyBorder="1" applyAlignment="1">
      <alignment horizontal="center"/>
    </xf>
    <xf numFmtId="164" fontId="17" fillId="9" borderId="0" xfId="0" applyNumberFormat="1" applyFont="1" applyFill="1" applyAlignment="1" applyProtection="1">
      <alignment vertical="center"/>
    </xf>
    <xf numFmtId="0" fontId="17" fillId="9" borderId="0" xfId="0" applyNumberFormat="1" applyFont="1" applyFill="1" applyAlignment="1" applyProtection="1">
      <alignment vertical="center"/>
    </xf>
    <xf numFmtId="0" fontId="22" fillId="9" borderId="0" xfId="0" applyFont="1" applyFill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/>
    </xf>
    <xf numFmtId="14" fontId="0" fillId="10" borderId="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4" fillId="9" borderId="1" xfId="3" applyFont="1" applyFill="1" applyBorder="1" applyAlignment="1">
      <alignment horizontal="center" vertical="center"/>
    </xf>
    <xf numFmtId="0" fontId="15" fillId="9" borderId="10" xfId="0" applyFont="1" applyFill="1" applyBorder="1" applyAlignment="1" applyProtection="1">
      <alignment horizontal="left" vertical="center"/>
    </xf>
    <xf numFmtId="0" fontId="15" fillId="11" borderId="1" xfId="0" applyFont="1" applyFill="1" applyBorder="1" applyAlignment="1" applyProtection="1">
      <alignment horizontal="center" vertical="center" shrinkToFit="1"/>
      <protection locked="0"/>
    </xf>
    <xf numFmtId="0" fontId="15" fillId="11" borderId="10" xfId="0" applyFont="1" applyFill="1" applyBorder="1" applyAlignment="1" applyProtection="1">
      <alignment horizontal="center" vertical="center" shrinkToFit="1"/>
      <protection locked="0"/>
    </xf>
    <xf numFmtId="0" fontId="15" fillId="6" borderId="3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horizontal="center" vertical="center"/>
    </xf>
    <xf numFmtId="164" fontId="15" fillId="10" borderId="1" xfId="0" applyNumberFormat="1" applyFont="1" applyFill="1" applyBorder="1" applyAlignment="1" applyProtection="1">
      <alignment horizontal="center" vertical="center"/>
      <protection locked="0"/>
    </xf>
    <xf numFmtId="164" fontId="15" fillId="10" borderId="10" xfId="0" applyNumberFormat="1" applyFont="1" applyFill="1" applyBorder="1" applyAlignment="1" applyProtection="1">
      <alignment horizontal="center" vertical="center"/>
      <protection locked="0"/>
    </xf>
    <xf numFmtId="0" fontId="35" fillId="6" borderId="0" xfId="0" applyFont="1" applyFill="1" applyAlignment="1" applyProtection="1">
      <alignment horizontal="center" vertical="center"/>
    </xf>
    <xf numFmtId="0" fontId="37" fillId="6" borderId="0" xfId="0" applyFont="1" applyFill="1" applyAlignment="1" applyProtection="1">
      <alignment horizontal="center" vertical="center"/>
    </xf>
    <xf numFmtId="0" fontId="17" fillId="7" borderId="10" xfId="0" applyFont="1" applyFill="1" applyBorder="1" applyAlignment="1" applyProtection="1">
      <alignment horizontal="center" vertical="center"/>
    </xf>
    <xf numFmtId="0" fontId="15" fillId="9" borderId="10" xfId="0" applyFont="1" applyFill="1" applyBorder="1" applyAlignment="1" applyProtection="1">
      <alignment horizontal="center" vertical="center"/>
    </xf>
    <xf numFmtId="0" fontId="15" fillId="9" borderId="11" xfId="0" applyFont="1" applyFill="1" applyBorder="1" applyAlignment="1" applyProtection="1">
      <alignment horizontal="center" vertical="center"/>
    </xf>
    <xf numFmtId="49" fontId="3" fillId="9" borderId="1" xfId="5" applyNumberFormat="1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15" fillId="0" borderId="0" xfId="0" applyNumberFormat="1" applyFont="1" applyAlignment="1">
      <alignment horizontal="center"/>
    </xf>
    <xf numFmtId="0" fontId="2" fillId="9" borderId="1" xfId="3" applyFont="1" applyFill="1" applyBorder="1" applyAlignment="1">
      <alignment horizontal="center" vertical="center"/>
    </xf>
    <xf numFmtId="0" fontId="15" fillId="9" borderId="0" xfId="0" applyFont="1" applyFill="1" applyProtection="1"/>
    <xf numFmtId="0" fontId="33" fillId="9" borderId="0" xfId="4" applyFont="1" applyFill="1" applyAlignment="1" applyProtection="1">
      <alignment horizontal="center" vertical="center"/>
    </xf>
    <xf numFmtId="0" fontId="20" fillId="9" borderId="0" xfId="0" applyFont="1" applyFill="1" applyProtection="1"/>
    <xf numFmtId="0" fontId="27" fillId="9" borderId="0" xfId="0" applyFont="1" applyFill="1" applyProtection="1"/>
    <xf numFmtId="0" fontId="36" fillId="9" borderId="0" xfId="0" applyFont="1" applyFill="1" applyProtection="1"/>
    <xf numFmtId="0" fontId="27" fillId="9" borderId="0" xfId="0" applyFont="1" applyFill="1" applyAlignment="1" applyProtection="1">
      <alignment horizontal="left"/>
    </xf>
    <xf numFmtId="0" fontId="27" fillId="9" borderId="0" xfId="0" quotePrefix="1" applyFont="1" applyFill="1" applyAlignment="1" applyProtection="1">
      <alignment horizontal="center"/>
    </xf>
    <xf numFmtId="0" fontId="15" fillId="9" borderId="0" xfId="0" applyFont="1" applyFill="1" applyAlignment="1" applyProtection="1">
      <alignment horizontal="left"/>
    </xf>
    <xf numFmtId="0" fontId="15" fillId="9" borderId="0" xfId="0" applyFont="1" applyFill="1" applyAlignment="1" applyProtection="1">
      <alignment horizontal="center"/>
    </xf>
    <xf numFmtId="0" fontId="0" fillId="0" borderId="0" xfId="0" applyProtection="1"/>
    <xf numFmtId="0" fontId="0" fillId="9" borderId="0" xfId="0" applyFill="1" applyProtection="1"/>
    <xf numFmtId="0" fontId="15" fillId="0" borderId="1" xfId="0" applyFont="1" applyBorder="1" applyAlignment="1" applyProtection="1">
      <alignment horizontal="right"/>
    </xf>
    <xf numFmtId="0" fontId="15" fillId="9" borderId="6" xfId="0" applyFont="1" applyFill="1" applyBorder="1" applyAlignment="1" applyProtection="1">
      <alignment horizontal="center" vertical="center"/>
    </xf>
    <xf numFmtId="0" fontId="15" fillId="0" borderId="0" xfId="0" applyFont="1" applyAlignment="1"/>
    <xf numFmtId="0" fontId="35" fillId="6" borderId="0" xfId="0" applyFont="1" applyFill="1" applyAlignment="1" applyProtection="1">
      <alignment horizontal="center" vertical="center"/>
    </xf>
    <xf numFmtId="0" fontId="37" fillId="6" borderId="0" xfId="0" applyFont="1" applyFill="1" applyAlignment="1" applyProtection="1">
      <alignment horizontal="center" vertical="center"/>
    </xf>
    <xf numFmtId="0" fontId="15" fillId="0" borderId="0" xfId="0" applyFont="1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5" fillId="9" borderId="0" xfId="0" applyFont="1" applyFill="1" applyBorder="1" applyAlignment="1" applyProtection="1">
      <alignment horizontal="center" vertical="center"/>
    </xf>
    <xf numFmtId="0" fontId="15" fillId="9" borderId="10" xfId="0" applyFont="1" applyFill="1" applyBorder="1" applyAlignment="1" applyProtection="1">
      <alignment horizontal="center" vertical="center"/>
    </xf>
    <xf numFmtId="0" fontId="1" fillId="9" borderId="1" xfId="3" applyFont="1" applyFill="1" applyBorder="1" applyAlignment="1">
      <alignment horizontal="center" vertical="center"/>
    </xf>
    <xf numFmtId="0" fontId="15" fillId="13" borderId="1" xfId="0" applyFont="1" applyFill="1" applyBorder="1" applyAlignment="1" applyProtection="1">
      <alignment horizontal="center" vertical="center"/>
    </xf>
    <xf numFmtId="0" fontId="15" fillId="9" borderId="10" xfId="2" applyFont="1" applyFill="1" applyBorder="1" applyAlignment="1" applyProtection="1">
      <alignment horizontal="center" vertical="center"/>
    </xf>
    <xf numFmtId="0" fontId="15" fillId="9" borderId="8" xfId="2" applyFont="1" applyFill="1" applyBorder="1" applyAlignment="1" applyProtection="1">
      <alignment horizontal="center" vertical="center"/>
    </xf>
    <xf numFmtId="0" fontId="44" fillId="9" borderId="0" xfId="0" applyFont="1" applyFill="1" applyAlignment="1" applyProtection="1">
      <alignment horizontal="center" wrapText="1"/>
    </xf>
    <xf numFmtId="0" fontId="27" fillId="9" borderId="0" xfId="0" applyFont="1" applyFill="1" applyAlignment="1" applyProtection="1">
      <alignment horizontal="left" vertical="top" wrapText="1"/>
    </xf>
    <xf numFmtId="0" fontId="15" fillId="11" borderId="1" xfId="2" applyFont="1" applyFill="1" applyBorder="1" applyAlignment="1" applyProtection="1">
      <alignment horizontal="center" vertical="center"/>
    </xf>
    <xf numFmtId="0" fontId="15" fillId="10" borderId="1" xfId="0" applyFont="1" applyFill="1" applyBorder="1" applyAlignment="1" applyProtection="1">
      <alignment horizontal="center" vertical="center"/>
    </xf>
    <xf numFmtId="1" fontId="15" fillId="12" borderId="1" xfId="0" applyNumberFormat="1" applyFont="1" applyFill="1" applyBorder="1" applyAlignment="1" applyProtection="1">
      <alignment horizontal="center" vertical="center"/>
    </xf>
    <xf numFmtId="167" fontId="15" fillId="10" borderId="6" xfId="0" applyNumberFormat="1" applyFont="1" applyFill="1" applyBorder="1" applyAlignment="1" applyProtection="1">
      <alignment horizontal="left" vertical="center"/>
      <protection locked="0"/>
    </xf>
    <xf numFmtId="167" fontId="15" fillId="10" borderId="3" xfId="0" applyNumberFormat="1" applyFont="1" applyFill="1" applyBorder="1" applyAlignment="1" applyProtection="1">
      <alignment horizontal="left" vertical="center"/>
      <protection locked="0"/>
    </xf>
    <xf numFmtId="167" fontId="15" fillId="10" borderId="14" xfId="0" applyNumberFormat="1" applyFont="1" applyFill="1" applyBorder="1" applyAlignment="1" applyProtection="1">
      <alignment horizontal="left" vertical="center"/>
      <protection locked="0"/>
    </xf>
    <xf numFmtId="167" fontId="15" fillId="10" borderId="10" xfId="0" applyNumberFormat="1" applyFont="1" applyFill="1" applyBorder="1" applyAlignment="1" applyProtection="1">
      <alignment horizontal="left" vertical="center"/>
      <protection locked="0"/>
    </xf>
    <xf numFmtId="167" fontId="15" fillId="10" borderId="12" xfId="0" applyNumberFormat="1" applyFont="1" applyFill="1" applyBorder="1" applyAlignment="1" applyProtection="1">
      <alignment horizontal="left" vertical="center"/>
      <protection locked="0"/>
    </xf>
    <xf numFmtId="167" fontId="15" fillId="10" borderId="8" xfId="0" applyNumberFormat="1" applyFont="1" applyFill="1" applyBorder="1" applyAlignment="1" applyProtection="1">
      <alignment horizontal="left" vertical="center"/>
      <protection locked="0"/>
    </xf>
    <xf numFmtId="0" fontId="21" fillId="10" borderId="10" xfId="1" applyFont="1" applyFill="1" applyBorder="1" applyAlignment="1" applyProtection="1">
      <alignment horizontal="left" vertical="center"/>
      <protection locked="0"/>
    </xf>
    <xf numFmtId="0" fontId="21" fillId="10" borderId="12" xfId="1" applyFont="1" applyFill="1" applyBorder="1" applyAlignment="1" applyProtection="1">
      <alignment horizontal="left" vertical="center"/>
      <protection locked="0"/>
    </xf>
    <xf numFmtId="0" fontId="21" fillId="10" borderId="8" xfId="1" applyFont="1" applyFill="1" applyBorder="1" applyAlignment="1" applyProtection="1">
      <alignment horizontal="left" vertical="center"/>
      <protection locked="0"/>
    </xf>
    <xf numFmtId="169" fontId="15" fillId="11" borderId="10" xfId="0" applyNumberFormat="1" applyFont="1" applyFill="1" applyBorder="1" applyAlignment="1" applyProtection="1">
      <alignment horizontal="left" vertical="center"/>
      <protection locked="0"/>
    </xf>
    <xf numFmtId="169" fontId="15" fillId="11" borderId="12" xfId="0" applyNumberFormat="1" applyFont="1" applyFill="1" applyBorder="1" applyAlignment="1" applyProtection="1">
      <alignment horizontal="left" vertical="center"/>
      <protection locked="0"/>
    </xf>
    <xf numFmtId="169" fontId="15" fillId="11" borderId="8" xfId="0" applyNumberFormat="1" applyFont="1" applyFill="1" applyBorder="1" applyAlignment="1" applyProtection="1">
      <alignment horizontal="left" vertical="center"/>
      <protection locked="0"/>
    </xf>
    <xf numFmtId="0" fontId="15" fillId="6" borderId="1" xfId="0" applyFont="1" applyFill="1" applyBorder="1" applyAlignment="1" applyProtection="1">
      <alignment vertical="center"/>
    </xf>
    <xf numFmtId="0" fontId="15" fillId="10" borderId="10" xfId="0" applyFont="1" applyFill="1" applyBorder="1" applyAlignment="1" applyProtection="1">
      <alignment horizontal="left" vertical="center"/>
      <protection locked="0"/>
    </xf>
    <xf numFmtId="0" fontId="15" fillId="10" borderId="12" xfId="0" applyFont="1" applyFill="1" applyBorder="1" applyAlignment="1" applyProtection="1">
      <alignment horizontal="left" vertical="center"/>
      <protection locked="0"/>
    </xf>
    <xf numFmtId="0" fontId="15" fillId="10" borderId="8" xfId="0" applyFont="1" applyFill="1" applyBorder="1" applyAlignment="1" applyProtection="1">
      <alignment horizontal="left" vertical="center"/>
      <protection locked="0"/>
    </xf>
    <xf numFmtId="0" fontId="17" fillId="7" borderId="4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5" xfId="0" applyFont="1" applyFill="1" applyBorder="1" applyAlignment="1" applyProtection="1">
      <alignment horizontal="center" vertical="center"/>
    </xf>
    <xf numFmtId="0" fontId="17" fillId="7" borderId="6" xfId="0" applyFont="1" applyFill="1" applyBorder="1" applyAlignment="1" applyProtection="1">
      <alignment horizontal="center" vertical="center"/>
    </xf>
    <xf numFmtId="0" fontId="17" fillId="7" borderId="3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horizontal="center" vertical="center"/>
    </xf>
    <xf numFmtId="0" fontId="35" fillId="6" borderId="0" xfId="0" applyFont="1" applyFill="1" applyAlignment="1" applyProtection="1">
      <alignment horizontal="center"/>
    </xf>
    <xf numFmtId="0" fontId="17" fillId="7" borderId="11" xfId="0" applyFont="1" applyFill="1" applyBorder="1" applyAlignment="1" applyProtection="1">
      <alignment horizontal="center" vertical="center"/>
    </xf>
    <xf numFmtId="0" fontId="17" fillId="7" borderId="7" xfId="0" applyFont="1" applyFill="1" applyBorder="1" applyAlignment="1" applyProtection="1">
      <alignment horizontal="center" vertical="center"/>
    </xf>
    <xf numFmtId="0" fontId="17" fillId="7" borderId="13" xfId="0" applyFont="1" applyFill="1" applyBorder="1" applyAlignment="1" applyProtection="1">
      <alignment horizontal="center" vertical="center"/>
    </xf>
    <xf numFmtId="166" fontId="15" fillId="10" borderId="1" xfId="0" applyNumberFormat="1" applyFont="1" applyFill="1" applyBorder="1" applyAlignment="1" applyProtection="1">
      <alignment horizontal="center" vertical="center"/>
      <protection locked="0"/>
    </xf>
    <xf numFmtId="166" fontId="15" fillId="11" borderId="1" xfId="0" applyNumberFormat="1" applyFont="1" applyFill="1" applyBorder="1" applyAlignment="1" applyProtection="1">
      <alignment horizontal="center" vertical="center"/>
      <protection locked="0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left" vertical="center"/>
    </xf>
    <xf numFmtId="0" fontId="15" fillId="6" borderId="8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vertical="center"/>
    </xf>
    <xf numFmtId="0" fontId="15" fillId="6" borderId="3" xfId="0" applyFont="1" applyFill="1" applyBorder="1" applyAlignment="1" applyProtection="1">
      <alignment vertical="center"/>
    </xf>
    <xf numFmtId="0" fontId="15" fillId="6" borderId="14" xfId="0" applyFont="1" applyFill="1" applyBorder="1" applyAlignment="1" applyProtection="1">
      <alignment vertical="center"/>
    </xf>
    <xf numFmtId="0" fontId="15" fillId="6" borderId="9" xfId="0" applyFont="1" applyFill="1" applyBorder="1" applyAlignment="1" applyProtection="1">
      <alignment horizontal="left" vertical="center"/>
    </xf>
    <xf numFmtId="0" fontId="15" fillId="14" borderId="19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left" vertical="center"/>
    </xf>
    <xf numFmtId="0" fontId="15" fillId="11" borderId="11" xfId="0" applyFont="1" applyFill="1" applyBorder="1" applyAlignment="1" applyProtection="1">
      <alignment horizontal="left" vertical="center"/>
      <protection locked="0"/>
    </xf>
    <xf numFmtId="0" fontId="15" fillId="11" borderId="7" xfId="0" applyFont="1" applyFill="1" applyBorder="1" applyAlignment="1" applyProtection="1">
      <alignment horizontal="left" vertical="center"/>
      <protection locked="0"/>
    </xf>
    <xf numFmtId="0" fontId="15" fillId="11" borderId="13" xfId="0" applyFont="1" applyFill="1" applyBorder="1" applyAlignment="1" applyProtection="1">
      <alignment horizontal="left" vertical="center"/>
      <protection locked="0"/>
    </xf>
    <xf numFmtId="11" fontId="15" fillId="11" borderId="10" xfId="0" applyNumberFormat="1" applyFont="1" applyFill="1" applyBorder="1" applyAlignment="1" applyProtection="1">
      <alignment horizontal="left" vertical="center" shrinkToFit="1"/>
      <protection locked="0"/>
    </xf>
    <xf numFmtId="0" fontId="15" fillId="11" borderId="12" xfId="0" applyFont="1" applyFill="1" applyBorder="1" applyAlignment="1" applyProtection="1">
      <alignment horizontal="left" vertical="center" shrinkToFit="1"/>
      <protection locked="0"/>
    </xf>
    <xf numFmtId="0" fontId="15" fillId="11" borderId="8" xfId="0" applyFont="1" applyFill="1" applyBorder="1" applyAlignment="1" applyProtection="1">
      <alignment horizontal="left" vertical="center" shrinkToFit="1"/>
      <protection locked="0"/>
    </xf>
    <xf numFmtId="0" fontId="15" fillId="11" borderId="10" xfId="0" applyFont="1" applyFill="1" applyBorder="1" applyAlignment="1" applyProtection="1">
      <alignment horizontal="center" vertical="center" shrinkToFit="1"/>
      <protection locked="0"/>
    </xf>
    <xf numFmtId="0" fontId="15" fillId="11" borderId="12" xfId="0" applyFont="1" applyFill="1" applyBorder="1" applyAlignment="1" applyProtection="1">
      <alignment horizontal="center" vertical="center" shrinkToFit="1"/>
      <protection locked="0"/>
    </xf>
    <xf numFmtId="0" fontId="15" fillId="11" borderId="8" xfId="0" applyFont="1" applyFill="1" applyBorder="1" applyAlignment="1" applyProtection="1">
      <alignment horizontal="center" vertical="center" shrinkToFit="1"/>
      <protection locked="0"/>
    </xf>
    <xf numFmtId="0" fontId="15" fillId="11" borderId="10" xfId="0" applyFont="1" applyFill="1" applyBorder="1" applyAlignment="1" applyProtection="1">
      <alignment horizontal="left" vertical="center"/>
      <protection locked="0"/>
    </xf>
    <xf numFmtId="0" fontId="15" fillId="11" borderId="12" xfId="0" applyFont="1" applyFill="1" applyBorder="1" applyAlignment="1" applyProtection="1">
      <alignment horizontal="left" vertical="center"/>
      <protection locked="0"/>
    </xf>
    <xf numFmtId="0" fontId="15" fillId="11" borderId="8" xfId="0" applyFont="1" applyFill="1" applyBorder="1" applyAlignment="1" applyProtection="1">
      <alignment horizontal="left" vertical="center"/>
      <protection locked="0"/>
    </xf>
    <xf numFmtId="0" fontId="15" fillId="10" borderId="1" xfId="0" applyFont="1" applyFill="1" applyBorder="1" applyAlignment="1" applyProtection="1">
      <alignment horizontal="left" vertical="center"/>
      <protection locked="0"/>
    </xf>
    <xf numFmtId="0" fontId="15" fillId="9" borderId="4" xfId="0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horizontal="center" vertical="center"/>
    </xf>
    <xf numFmtId="0" fontId="15" fillId="9" borderId="10" xfId="0" applyFont="1" applyFill="1" applyBorder="1" applyAlignment="1" applyProtection="1">
      <alignment horizontal="center" vertical="center" shrinkToFit="1"/>
    </xf>
    <xf numFmtId="0" fontId="15" fillId="9" borderId="12" xfId="0" applyFont="1" applyFill="1" applyBorder="1" applyAlignment="1" applyProtection="1">
      <alignment horizontal="center" vertical="center" shrinkToFit="1"/>
    </xf>
    <xf numFmtId="0" fontId="15" fillId="9" borderId="8" xfId="0" applyFont="1" applyFill="1" applyBorder="1" applyAlignment="1" applyProtection="1">
      <alignment horizontal="center" vertical="center" shrinkToFit="1"/>
    </xf>
    <xf numFmtId="164" fontId="15" fillId="10" borderId="10" xfId="0" applyNumberFormat="1" applyFont="1" applyFill="1" applyBorder="1" applyAlignment="1" applyProtection="1">
      <alignment horizontal="center" vertical="center"/>
      <protection locked="0"/>
    </xf>
    <xf numFmtId="164" fontId="15" fillId="10" borderId="12" xfId="0" applyNumberFormat="1" applyFont="1" applyFill="1" applyBorder="1" applyAlignment="1" applyProtection="1">
      <alignment horizontal="center" vertical="center"/>
      <protection locked="0"/>
    </xf>
    <xf numFmtId="164" fontId="15" fillId="10" borderId="8" xfId="0" applyNumberFormat="1" applyFont="1" applyFill="1" applyBorder="1" applyAlignment="1" applyProtection="1">
      <alignment horizontal="center" vertical="center"/>
      <protection locked="0"/>
    </xf>
    <xf numFmtId="2" fontId="15" fillId="0" borderId="10" xfId="0" applyNumberFormat="1" applyFont="1" applyFill="1" applyBorder="1" applyAlignment="1" applyProtection="1">
      <alignment horizontal="center" vertical="center"/>
    </xf>
    <xf numFmtId="2" fontId="15" fillId="0" borderId="8" xfId="0" applyNumberFormat="1" applyFont="1" applyFill="1" applyBorder="1" applyAlignment="1" applyProtection="1">
      <alignment horizontal="center" vertical="center"/>
    </xf>
    <xf numFmtId="0" fontId="41" fillId="9" borderId="0" xfId="0" applyFont="1" applyFill="1" applyAlignment="1" applyProtection="1">
      <alignment horizontal="center" vertical="center" shrinkToFit="1"/>
    </xf>
    <xf numFmtId="164" fontId="22" fillId="14" borderId="10" xfId="0" applyNumberFormat="1" applyFont="1" applyFill="1" applyBorder="1" applyAlignment="1" applyProtection="1">
      <alignment horizontal="center" vertical="center"/>
    </xf>
    <xf numFmtId="164" fontId="22" fillId="14" borderId="12" xfId="0" applyNumberFormat="1" applyFont="1" applyFill="1" applyBorder="1" applyAlignment="1" applyProtection="1">
      <alignment horizontal="center" vertical="center"/>
    </xf>
    <xf numFmtId="164" fontId="22" fillId="14" borderId="8" xfId="0" applyNumberFormat="1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left" vertical="center"/>
    </xf>
    <xf numFmtId="164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41" fillId="7" borderId="1" xfId="0" applyFont="1" applyFill="1" applyBorder="1" applyAlignment="1" applyProtection="1">
      <alignment horizontal="center" vertical="center"/>
    </xf>
    <xf numFmtId="164" fontId="15" fillId="10" borderId="1" xfId="25" applyNumberFormat="1" applyFont="1" applyFill="1" applyBorder="1" applyAlignment="1" applyProtection="1">
      <alignment horizontal="center" vertical="center"/>
      <protection locked="0"/>
    </xf>
    <xf numFmtId="165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5" fillId="11" borderId="1" xfId="0" applyFont="1" applyFill="1" applyBorder="1" applyAlignment="1" applyProtection="1">
      <alignment horizontal="center" vertical="center" shrinkToFit="1"/>
      <protection locked="0"/>
    </xf>
    <xf numFmtId="0" fontId="41" fillId="7" borderId="10" xfId="0" applyFont="1" applyFill="1" applyBorder="1" applyAlignment="1" applyProtection="1">
      <alignment horizontal="center" vertical="center"/>
    </xf>
    <xf numFmtId="0" fontId="41" fillId="7" borderId="12" xfId="0" applyFont="1" applyFill="1" applyBorder="1" applyAlignment="1" applyProtection="1">
      <alignment horizontal="center" vertical="center"/>
    </xf>
    <xf numFmtId="0" fontId="41" fillId="7" borderId="8" xfId="0" applyFont="1" applyFill="1" applyBorder="1" applyAlignment="1" applyProtection="1">
      <alignment horizontal="center" vertical="center"/>
    </xf>
    <xf numFmtId="0" fontId="15" fillId="9" borderId="11" xfId="0" applyFont="1" applyFill="1" applyBorder="1" applyAlignment="1" applyProtection="1">
      <alignment horizontal="center" vertical="center"/>
    </xf>
    <xf numFmtId="0" fontId="15" fillId="9" borderId="7" xfId="0" applyFont="1" applyFill="1" applyBorder="1" applyAlignment="1" applyProtection="1">
      <alignment horizontal="center" vertical="center"/>
    </xf>
    <xf numFmtId="0" fontId="15" fillId="9" borderId="13" xfId="0" applyFont="1" applyFill="1" applyBorder="1" applyAlignment="1" applyProtection="1">
      <alignment horizontal="center" vertical="center"/>
    </xf>
    <xf numFmtId="0" fontId="15" fillId="9" borderId="6" xfId="0" applyFont="1" applyFill="1" applyBorder="1" applyAlignment="1" applyProtection="1">
      <alignment horizontal="center" vertical="center"/>
    </xf>
    <xf numFmtId="0" fontId="15" fillId="9" borderId="3" xfId="0" applyFont="1" applyFill="1" applyBorder="1" applyAlignment="1" applyProtection="1">
      <alignment horizontal="center" vertical="center"/>
    </xf>
    <xf numFmtId="0" fontId="15" fillId="9" borderId="14" xfId="0" applyFont="1" applyFill="1" applyBorder="1" applyAlignment="1" applyProtection="1">
      <alignment horizontal="center" vertical="center"/>
    </xf>
    <xf numFmtId="0" fontId="15" fillId="9" borderId="10" xfId="0" applyFont="1" applyFill="1" applyBorder="1" applyAlignment="1" applyProtection="1">
      <alignment horizontal="center" vertical="center"/>
    </xf>
    <xf numFmtId="0" fontId="15" fillId="9" borderId="12" xfId="0" applyFont="1" applyFill="1" applyBorder="1" applyAlignment="1" applyProtection="1">
      <alignment horizontal="center" vertical="center"/>
    </xf>
    <xf numFmtId="0" fontId="15" fillId="9" borderId="8" xfId="0" applyFont="1" applyFill="1" applyBorder="1" applyAlignment="1" applyProtection="1">
      <alignment horizontal="center" vertical="center"/>
    </xf>
    <xf numFmtId="0" fontId="35" fillId="6" borderId="0" xfId="0" applyFont="1" applyFill="1" applyAlignment="1" applyProtection="1">
      <alignment horizontal="center" vertical="center"/>
    </xf>
    <xf numFmtId="1" fontId="15" fillId="13" borderId="10" xfId="0" applyNumberFormat="1" applyFont="1" applyFill="1" applyBorder="1" applyAlignment="1" applyProtection="1">
      <alignment horizontal="center" vertical="center"/>
    </xf>
    <xf numFmtId="1" fontId="15" fillId="13" borderId="12" xfId="0" applyNumberFormat="1" applyFont="1" applyFill="1" applyBorder="1" applyAlignment="1" applyProtection="1">
      <alignment horizontal="center" vertical="center"/>
    </xf>
    <xf numFmtId="1" fontId="15" fillId="13" borderId="8" xfId="0" applyNumberFormat="1" applyFont="1" applyFill="1" applyBorder="1" applyAlignment="1" applyProtection="1">
      <alignment horizontal="center" vertical="center"/>
    </xf>
    <xf numFmtId="0" fontId="37" fillId="6" borderId="0" xfId="0" applyFont="1" applyFill="1" applyAlignment="1" applyProtection="1">
      <alignment horizontal="center" vertical="center"/>
    </xf>
    <xf numFmtId="14" fontId="15" fillId="11" borderId="1" xfId="0" applyNumberFormat="1" applyFont="1" applyFill="1" applyBorder="1" applyAlignment="1" applyProtection="1">
      <alignment horizontal="center" vertical="center"/>
      <protection locked="0"/>
    </xf>
    <xf numFmtId="0" fontId="15" fillId="11" borderId="1" xfId="0" applyFont="1" applyFill="1" applyBorder="1" applyAlignment="1" applyProtection="1">
      <alignment horizontal="center" vertical="center"/>
      <protection locked="0"/>
    </xf>
    <xf numFmtId="168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5" fillId="8" borderId="11" xfId="0" applyFont="1" applyFill="1" applyBorder="1" applyAlignment="1" applyProtection="1">
      <alignment horizontal="center" vertical="center" wrapText="1"/>
    </xf>
    <xf numFmtId="0" fontId="15" fillId="8" borderId="7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</xf>
    <xf numFmtId="1" fontId="15" fillId="12" borderId="10" xfId="0" applyNumberFormat="1" applyFont="1" applyFill="1" applyBorder="1" applyAlignment="1" applyProtection="1">
      <alignment horizontal="center" vertical="center" shrinkToFit="1"/>
    </xf>
    <xf numFmtId="1" fontId="15" fillId="12" borderId="12" xfId="0" applyNumberFormat="1" applyFont="1" applyFill="1" applyBorder="1" applyAlignment="1" applyProtection="1">
      <alignment horizontal="center" vertical="center" shrinkToFit="1"/>
    </xf>
    <xf numFmtId="1" fontId="15" fillId="12" borderId="8" xfId="0" applyNumberFormat="1" applyFont="1" applyFill="1" applyBorder="1" applyAlignment="1" applyProtection="1">
      <alignment horizontal="center" vertical="center" shrinkToFit="1"/>
    </xf>
    <xf numFmtId="1" fontId="15" fillId="12" borderId="6" xfId="0" applyNumberFormat="1" applyFont="1" applyFill="1" applyBorder="1" applyAlignment="1" applyProtection="1">
      <alignment horizontal="center" vertical="center"/>
    </xf>
    <xf numFmtId="1" fontId="15" fillId="12" borderId="3" xfId="0" applyNumberFormat="1" applyFont="1" applyFill="1" applyBorder="1" applyAlignment="1" applyProtection="1">
      <alignment horizontal="center" vertical="center"/>
    </xf>
    <xf numFmtId="1" fontId="15" fillId="12" borderId="14" xfId="0" applyNumberFormat="1" applyFont="1" applyFill="1" applyBorder="1" applyAlignment="1" applyProtection="1">
      <alignment horizontal="center" vertical="center"/>
    </xf>
    <xf numFmtId="0" fontId="15" fillId="8" borderId="4" xfId="0" applyFont="1" applyFill="1" applyBorder="1" applyAlignment="1" applyProtection="1">
      <alignment horizontal="center" vertical="center" wrapText="1"/>
    </xf>
    <xf numFmtId="0" fontId="15" fillId="8" borderId="0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5" fillId="8" borderId="14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/>
    </xf>
    <xf numFmtId="0" fontId="15" fillId="7" borderId="10" xfId="0" applyFont="1" applyFill="1" applyBorder="1" applyAlignment="1" applyProtection="1">
      <alignment horizontal="center" vertical="center"/>
    </xf>
    <xf numFmtId="0" fontId="15" fillId="7" borderId="12" xfId="0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 applyProtection="1">
      <alignment horizontal="center" vertical="center"/>
    </xf>
    <xf numFmtId="2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5" fillId="11" borderId="10" xfId="0" applyFont="1" applyFill="1" applyBorder="1" applyAlignment="1" applyProtection="1">
      <alignment horizontal="center" vertical="center"/>
      <protection locked="0"/>
    </xf>
    <xf numFmtId="0" fontId="15" fillId="11" borderId="12" xfId="0" applyFont="1" applyFill="1" applyBorder="1" applyAlignment="1" applyProtection="1">
      <alignment horizontal="center" vertical="center"/>
      <protection locked="0"/>
    </xf>
    <xf numFmtId="0" fontId="15" fillId="11" borderId="8" xfId="0" applyFont="1" applyFill="1" applyBorder="1" applyAlignment="1" applyProtection="1">
      <alignment horizontal="center" vertical="center"/>
      <protection locked="0"/>
    </xf>
    <xf numFmtId="0" fontId="15" fillId="10" borderId="10" xfId="0" applyFont="1" applyFill="1" applyBorder="1" applyAlignment="1" applyProtection="1">
      <alignment horizontal="center" vertical="center"/>
      <protection locked="0"/>
    </xf>
    <xf numFmtId="0" fontId="15" fillId="10" borderId="12" xfId="0" applyFont="1" applyFill="1" applyBorder="1" applyAlignment="1" applyProtection="1">
      <alignment horizontal="center" vertical="center"/>
      <protection locked="0"/>
    </xf>
    <xf numFmtId="0" fontId="15" fillId="10" borderId="8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 vertical="center" shrinkToFit="1"/>
    </xf>
    <xf numFmtId="0" fontId="15" fillId="6" borderId="3" xfId="0" applyFont="1" applyFill="1" applyBorder="1" applyAlignment="1" applyProtection="1">
      <alignment horizontal="center" vertical="center"/>
    </xf>
    <xf numFmtId="2" fontId="15" fillId="10" borderId="10" xfId="0" applyNumberFormat="1" applyFont="1" applyFill="1" applyBorder="1" applyAlignment="1" applyProtection="1">
      <alignment horizontal="center" vertical="center"/>
      <protection locked="0"/>
    </xf>
    <xf numFmtId="0" fontId="15" fillId="13" borderId="10" xfId="0" applyFont="1" applyFill="1" applyBorder="1" applyAlignment="1" applyProtection="1">
      <alignment horizontal="center" vertical="center"/>
    </xf>
    <xf numFmtId="0" fontId="15" fillId="13" borderId="12" xfId="0" applyFont="1" applyFill="1" applyBorder="1" applyAlignment="1" applyProtection="1">
      <alignment horizontal="center" vertical="center"/>
    </xf>
    <xf numFmtId="0" fontId="15" fillId="13" borderId="8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0" fontId="15" fillId="6" borderId="0" xfId="0" applyFont="1" applyFill="1" applyAlignment="1" applyProtection="1">
      <alignment horizontal="left" vertical="center" wrapText="1"/>
    </xf>
    <xf numFmtId="0" fontId="17" fillId="7" borderId="1" xfId="0" applyFont="1" applyFill="1" applyBorder="1" applyAlignment="1" applyProtection="1">
      <alignment horizontal="center" vertical="center"/>
    </xf>
    <xf numFmtId="164" fontId="15" fillId="13" borderId="1" xfId="0" applyNumberFormat="1" applyFont="1" applyFill="1" applyBorder="1" applyAlignment="1" applyProtection="1">
      <alignment horizontal="center" vertical="center"/>
    </xf>
    <xf numFmtId="0" fontId="15" fillId="9" borderId="5" xfId="0" applyFont="1" applyFill="1" applyBorder="1" applyAlignment="1" applyProtection="1">
      <alignment horizontal="center" vertical="center"/>
    </xf>
    <xf numFmtId="1" fontId="15" fillId="10" borderId="10" xfId="0" applyNumberFormat="1" applyFont="1" applyFill="1" applyBorder="1" applyAlignment="1" applyProtection="1">
      <alignment horizontal="center" vertical="center"/>
      <protection locked="0"/>
    </xf>
    <xf numFmtId="1" fontId="15" fillId="10" borderId="12" xfId="0" applyNumberFormat="1" applyFont="1" applyFill="1" applyBorder="1" applyAlignment="1" applyProtection="1">
      <alignment horizontal="center" vertical="center"/>
      <protection locked="0"/>
    </xf>
    <xf numFmtId="1" fontId="15" fillId="10" borderId="8" xfId="0" applyNumberFormat="1" applyFont="1" applyFill="1" applyBorder="1" applyAlignment="1" applyProtection="1">
      <alignment horizontal="center" vertical="center"/>
      <protection locked="0"/>
    </xf>
    <xf numFmtId="0" fontId="0" fillId="14" borderId="10" xfId="0" applyFill="1" applyBorder="1" applyAlignment="1" applyProtection="1">
      <alignment horizontal="center"/>
    </xf>
    <xf numFmtId="0" fontId="0" fillId="14" borderId="8" xfId="0" applyFill="1" applyBorder="1" applyAlignment="1" applyProtection="1">
      <alignment horizontal="center"/>
    </xf>
    <xf numFmtId="2" fontId="0" fillId="10" borderId="1" xfId="0" applyNumberFormat="1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15" fillId="9" borderId="19" xfId="0" applyFont="1" applyFill="1" applyBorder="1" applyAlignment="1" applyProtection="1">
      <alignment horizontal="center" vertical="center"/>
    </xf>
    <xf numFmtId="0" fontId="15" fillId="9" borderId="15" xfId="0" applyFont="1" applyFill="1" applyBorder="1" applyAlignment="1" applyProtection="1">
      <alignment horizontal="center" vertical="center"/>
    </xf>
    <xf numFmtId="0" fontId="15" fillId="9" borderId="9" xfId="0" applyFont="1" applyFill="1" applyBorder="1" applyAlignment="1" applyProtection="1">
      <alignment horizontal="center" vertical="center"/>
    </xf>
    <xf numFmtId="0" fontId="43" fillId="9" borderId="0" xfId="0" applyFont="1" applyFill="1" applyAlignment="1" applyProtection="1">
      <alignment horizontal="center" vertical="center"/>
    </xf>
    <xf numFmtId="0" fontId="43" fillId="9" borderId="5" xfId="0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17" fillId="7" borderId="10" xfId="0" applyFont="1" applyFill="1" applyBorder="1" applyAlignment="1" applyProtection="1">
      <alignment horizontal="center" vertical="center"/>
    </xf>
    <xf numFmtId="0" fontId="17" fillId="7" borderId="12" xfId="0" applyFont="1" applyFill="1" applyBorder="1" applyAlignment="1" applyProtection="1">
      <alignment horizontal="center" vertical="center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164" fontId="0" fillId="10" borderId="10" xfId="0" applyNumberFormat="1" applyFill="1" applyBorder="1" applyAlignment="1" applyProtection="1">
      <alignment horizontal="center"/>
      <protection locked="0"/>
    </xf>
    <xf numFmtId="164" fontId="0" fillId="10" borderId="8" xfId="0" applyNumberFormat="1" applyFill="1" applyBorder="1" applyAlignment="1" applyProtection="1">
      <alignment horizontal="center"/>
      <protection locked="0"/>
    </xf>
    <xf numFmtId="164" fontId="15" fillId="10" borderId="10" xfId="0" applyNumberFormat="1" applyFont="1" applyFill="1" applyBorder="1" applyAlignment="1" applyProtection="1">
      <alignment horizontal="center"/>
      <protection locked="0"/>
    </xf>
    <xf numFmtId="0" fontId="15" fillId="10" borderId="10" xfId="0" applyFont="1" applyFill="1" applyBorder="1" applyAlignment="1" applyProtection="1">
      <alignment horizontal="center" shrinkToFit="1"/>
      <protection locked="0"/>
    </xf>
    <xf numFmtId="0" fontId="15" fillId="10" borderId="8" xfId="0" applyFont="1" applyFill="1" applyBorder="1" applyAlignment="1" applyProtection="1">
      <alignment horizontal="center" shrinkToFit="1"/>
      <protection locked="0"/>
    </xf>
    <xf numFmtId="2" fontId="0" fillId="10" borderId="10" xfId="0" applyNumberFormat="1" applyFill="1" applyBorder="1" applyAlignment="1" applyProtection="1">
      <alignment horizontal="center"/>
      <protection locked="0"/>
    </xf>
    <xf numFmtId="2" fontId="0" fillId="10" borderId="8" xfId="0" applyNumberFormat="1" applyFill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2" fontId="0" fillId="14" borderId="10" xfId="0" applyNumberFormat="1" applyFill="1" applyBorder="1" applyAlignment="1" applyProtection="1">
      <alignment horizontal="center"/>
    </xf>
    <xf numFmtId="2" fontId="0" fillId="14" borderId="8" xfId="0" applyNumberFormat="1" applyFill="1" applyBorder="1" applyAlignment="1" applyProtection="1">
      <alignment horizontal="center"/>
    </xf>
    <xf numFmtId="2" fontId="0" fillId="14" borderId="1" xfId="0" applyNumberFormat="1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164" fontId="0" fillId="14" borderId="10" xfId="0" applyNumberFormat="1" applyFill="1" applyBorder="1" applyAlignment="1" applyProtection="1">
      <alignment horizontal="center"/>
    </xf>
    <xf numFmtId="164" fontId="0" fillId="14" borderId="8" xfId="0" applyNumberFormat="1" applyFill="1" applyBorder="1" applyAlignment="1" applyProtection="1">
      <alignment horizontal="center"/>
    </xf>
    <xf numFmtId="0" fontId="26" fillId="9" borderId="10" xfId="0" applyFont="1" applyFill="1" applyBorder="1" applyAlignment="1" applyProtection="1">
      <alignment horizontal="left" vertical="center"/>
    </xf>
    <xf numFmtId="0" fontId="26" fillId="9" borderId="12" xfId="0" applyFont="1" applyFill="1" applyBorder="1" applyAlignment="1" applyProtection="1">
      <alignment horizontal="left" vertical="center"/>
    </xf>
    <xf numFmtId="0" fontId="26" fillId="9" borderId="8" xfId="0" applyFont="1" applyFill="1" applyBorder="1" applyAlignment="1" applyProtection="1">
      <alignment horizontal="left" vertical="center"/>
    </xf>
    <xf numFmtId="1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</xf>
    <xf numFmtId="164" fontId="15" fillId="11" borderId="1" xfId="0" applyNumberFormat="1" applyFont="1" applyFill="1" applyBorder="1" applyAlignment="1" applyProtection="1">
      <alignment horizontal="center" vertical="center"/>
      <protection locked="0"/>
    </xf>
    <xf numFmtId="0" fontId="15" fillId="7" borderId="9" xfId="0" applyFont="1" applyFill="1" applyBorder="1" applyAlignment="1" applyProtection="1">
      <alignment horizontal="center" vertical="center"/>
    </xf>
    <xf numFmtId="164" fontId="15" fillId="11" borderId="9" xfId="0" applyNumberFormat="1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 shrinkToFit="1"/>
    </xf>
    <xf numFmtId="0" fontId="15" fillId="13" borderId="9" xfId="0" applyFont="1" applyFill="1" applyBorder="1" applyAlignment="1" applyProtection="1">
      <alignment horizontal="center" vertical="center" shrinkToFit="1"/>
    </xf>
    <xf numFmtId="164" fontId="0" fillId="13" borderId="1" xfId="0" applyNumberFormat="1" applyFont="1" applyFill="1" applyBorder="1" applyAlignment="1" applyProtection="1">
      <alignment horizontal="center" vertical="center"/>
    </xf>
    <xf numFmtId="0" fontId="15" fillId="8" borderId="2" xfId="0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 vertical="center" wrapText="1"/>
    </xf>
    <xf numFmtId="0" fontId="15" fillId="9" borderId="2" xfId="0" applyFont="1" applyFill="1" applyBorder="1" applyAlignment="1" applyProtection="1">
      <alignment horizontal="center" vertical="center" wrapText="1"/>
    </xf>
    <xf numFmtId="0" fontId="22" fillId="8" borderId="10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164" fontId="15" fillId="10" borderId="9" xfId="0" applyNumberFormat="1" applyFont="1" applyFill="1" applyBorder="1" applyAlignment="1" applyProtection="1">
      <alignment horizontal="center" vertical="center"/>
      <protection locked="0"/>
    </xf>
    <xf numFmtId="1" fontId="34" fillId="13" borderId="9" xfId="25" applyNumberFormat="1" applyFont="1" applyFill="1" applyBorder="1" applyAlignment="1" applyProtection="1">
      <alignment horizontal="center" vertical="center"/>
    </xf>
    <xf numFmtId="1" fontId="34" fillId="13" borderId="1" xfId="25" applyNumberFormat="1" applyFont="1" applyFill="1" applyBorder="1" applyAlignment="1" applyProtection="1">
      <alignment horizontal="center" vertical="center"/>
    </xf>
    <xf numFmtId="164" fontId="34" fillId="13" borderId="1" xfId="25" applyNumberFormat="1" applyFont="1" applyFill="1" applyBorder="1" applyAlignment="1" applyProtection="1">
      <alignment horizontal="center" vertical="center"/>
    </xf>
    <xf numFmtId="0" fontId="15" fillId="8" borderId="16" xfId="0" applyFont="1" applyFill="1" applyBorder="1" applyAlignment="1" applyProtection="1">
      <alignment horizontal="center" vertical="center"/>
    </xf>
    <xf numFmtId="0" fontId="15" fillId="8" borderId="17" xfId="0" applyFont="1" applyFill="1" applyBorder="1" applyAlignment="1" applyProtection="1">
      <alignment horizontal="center" vertical="center"/>
    </xf>
    <xf numFmtId="0" fontId="15" fillId="6" borderId="16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/>
    </xf>
    <xf numFmtId="0" fontId="15" fillId="6" borderId="18" xfId="0" applyFont="1" applyFill="1" applyBorder="1" applyAlignment="1" applyProtection="1">
      <alignment horizontal="center" vertical="center"/>
    </xf>
    <xf numFmtId="1" fontId="15" fillId="10" borderId="10" xfId="2" applyNumberFormat="1" applyFont="1" applyFill="1" applyBorder="1" applyAlignment="1" applyProtection="1">
      <alignment horizontal="center" vertical="center"/>
      <protection locked="0"/>
    </xf>
    <xf numFmtId="1" fontId="15" fillId="10" borderId="12" xfId="2" applyNumberFormat="1" applyFont="1" applyFill="1" applyBorder="1" applyAlignment="1" applyProtection="1">
      <alignment horizontal="center" vertical="center"/>
      <protection locked="0"/>
    </xf>
    <xf numFmtId="1" fontId="15" fillId="10" borderId="8" xfId="2" applyNumberFormat="1" applyFont="1" applyFill="1" applyBorder="1" applyAlignment="1" applyProtection="1">
      <alignment horizontal="center" vertical="center"/>
      <protection locked="0"/>
    </xf>
    <xf numFmtId="164" fontId="15" fillId="10" borderId="10" xfId="2" applyNumberFormat="1" applyFont="1" applyFill="1" applyBorder="1" applyAlignment="1" applyProtection="1">
      <alignment horizontal="center" vertical="center"/>
      <protection locked="0"/>
    </xf>
    <xf numFmtId="164" fontId="15" fillId="10" borderId="12" xfId="2" applyNumberFormat="1" applyFont="1" applyFill="1" applyBorder="1" applyAlignment="1" applyProtection="1">
      <alignment horizontal="center" vertical="center"/>
      <protection locked="0"/>
    </xf>
    <xf numFmtId="164" fontId="15" fillId="10" borderId="8" xfId="2" applyNumberFormat="1" applyFont="1" applyFill="1" applyBorder="1" applyAlignment="1" applyProtection="1">
      <alignment horizontal="center" vertical="center"/>
      <protection locked="0"/>
    </xf>
    <xf numFmtId="164" fontId="15" fillId="13" borderId="10" xfId="2" applyNumberFormat="1" applyFont="1" applyFill="1" applyBorder="1" applyAlignment="1" applyProtection="1">
      <alignment horizontal="center" vertical="center"/>
    </xf>
    <xf numFmtId="164" fontId="15" fillId="13" borderId="12" xfId="2" applyNumberFormat="1" applyFont="1" applyFill="1" applyBorder="1" applyAlignment="1" applyProtection="1">
      <alignment horizontal="center" vertical="center"/>
    </xf>
    <xf numFmtId="164" fontId="15" fillId="13" borderId="8" xfId="2" applyNumberFormat="1" applyFont="1" applyFill="1" applyBorder="1" applyAlignment="1" applyProtection="1">
      <alignment horizontal="center" vertical="center"/>
    </xf>
    <xf numFmtId="0" fontId="18" fillId="8" borderId="10" xfId="0" applyFont="1" applyFill="1" applyBorder="1" applyAlignment="1" applyProtection="1">
      <alignment horizontal="center" vertical="center"/>
    </xf>
    <xf numFmtId="0" fontId="18" fillId="8" borderId="12" xfId="0" applyFont="1" applyFill="1" applyBorder="1" applyAlignment="1" applyProtection="1">
      <alignment horizontal="center" vertical="center"/>
    </xf>
    <xf numFmtId="0" fontId="15" fillId="11" borderId="10" xfId="2" applyFont="1" applyFill="1" applyBorder="1" applyAlignment="1" applyProtection="1">
      <alignment horizontal="center" vertical="center" shrinkToFit="1"/>
      <protection locked="0"/>
    </xf>
    <xf numFmtId="0" fontId="15" fillId="11" borderId="12" xfId="2" applyFont="1" applyFill="1" applyBorder="1" applyAlignment="1" applyProtection="1">
      <alignment horizontal="center" vertical="center" shrinkToFit="1"/>
      <protection locked="0"/>
    </xf>
    <xf numFmtId="0" fontId="15" fillId="11" borderId="8" xfId="2" applyFont="1" applyFill="1" applyBorder="1" applyAlignment="1" applyProtection="1">
      <alignment horizontal="center" vertical="center" shrinkToFit="1"/>
      <protection locked="0"/>
    </xf>
    <xf numFmtId="0" fontId="15" fillId="11" borderId="1" xfId="2" applyFont="1" applyFill="1" applyBorder="1" applyAlignment="1" applyProtection="1">
      <alignment horizontal="center" vertical="center" shrinkToFit="1"/>
      <protection locked="0"/>
    </xf>
    <xf numFmtId="0" fontId="15" fillId="13" borderId="1" xfId="2" applyFont="1" applyFill="1" applyBorder="1" applyAlignment="1" applyProtection="1">
      <alignment horizontal="center" vertical="center"/>
    </xf>
    <xf numFmtId="0" fontId="22" fillId="8" borderId="6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164" fontId="0" fillId="13" borderId="10" xfId="0" applyNumberFormat="1" applyFont="1" applyFill="1" applyBorder="1" applyAlignment="1" applyProtection="1">
      <alignment horizontal="center" vertical="center"/>
    </xf>
    <xf numFmtId="164" fontId="0" fillId="13" borderId="12" xfId="0" applyNumberFormat="1" applyFont="1" applyFill="1" applyBorder="1" applyAlignment="1" applyProtection="1">
      <alignment horizontal="center" vertical="center"/>
    </xf>
    <xf numFmtId="164" fontId="0" fillId="13" borderId="8" xfId="0" applyNumberFormat="1" applyFont="1" applyFill="1" applyBorder="1" applyAlignment="1" applyProtection="1">
      <alignment horizontal="center" vertical="center"/>
    </xf>
    <xf numFmtId="164" fontId="15" fillId="13" borderId="9" xfId="0" applyNumberFormat="1" applyFont="1" applyFill="1" applyBorder="1" applyAlignment="1" applyProtection="1">
      <alignment horizontal="center" vertical="center"/>
    </xf>
    <xf numFmtId="0" fontId="15" fillId="11" borderId="10" xfId="2" applyFont="1" applyFill="1" applyBorder="1" applyAlignment="1" applyProtection="1">
      <alignment horizontal="center" vertical="center" shrinkToFit="1"/>
    </xf>
    <xf numFmtId="0" fontId="15" fillId="11" borderId="12" xfId="2" applyFont="1" applyFill="1" applyBorder="1" applyAlignment="1" applyProtection="1">
      <alignment horizontal="center" vertical="center" shrinkToFit="1"/>
    </xf>
    <xf numFmtId="0" fontId="15" fillId="11" borderId="8" xfId="2" applyFont="1" applyFill="1" applyBorder="1" applyAlignment="1" applyProtection="1">
      <alignment horizontal="center" vertical="center" shrinkToFit="1"/>
    </xf>
    <xf numFmtId="0" fontId="15" fillId="11" borderId="1" xfId="2" applyFont="1" applyFill="1" applyBorder="1" applyAlignment="1" applyProtection="1">
      <alignment horizontal="center" vertical="center" shrinkToFit="1"/>
    </xf>
    <xf numFmtId="1" fontId="15" fillId="12" borderId="10" xfId="2" applyNumberFormat="1" applyFont="1" applyFill="1" applyBorder="1" applyAlignment="1" applyProtection="1">
      <alignment horizontal="center" vertical="center"/>
    </xf>
    <xf numFmtId="1" fontId="15" fillId="12" borderId="12" xfId="2" applyNumberFormat="1" applyFont="1" applyFill="1" applyBorder="1" applyAlignment="1" applyProtection="1">
      <alignment horizontal="center" vertical="center"/>
    </xf>
    <xf numFmtId="0" fontId="15" fillId="12" borderId="1" xfId="0" applyFont="1" applyFill="1" applyBorder="1" applyAlignment="1" applyProtection="1">
      <alignment horizontal="center" vertical="center"/>
    </xf>
    <xf numFmtId="1" fontId="15" fillId="13" borderId="1" xfId="2" applyNumberFormat="1" applyFont="1" applyFill="1" applyBorder="1" applyAlignment="1" applyProtection="1">
      <alignment horizontal="center" vertical="center"/>
    </xf>
    <xf numFmtId="1" fontId="15" fillId="12" borderId="1" xfId="2" applyNumberFormat="1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horizontal="center" vertical="center"/>
    </xf>
    <xf numFmtId="164" fontId="15" fillId="12" borderId="1" xfId="2" applyNumberFormat="1" applyFont="1" applyFill="1" applyBorder="1" applyAlignment="1" applyProtection="1">
      <alignment horizontal="center" vertical="center"/>
    </xf>
    <xf numFmtId="164" fontId="15" fillId="12" borderId="10" xfId="2" applyNumberFormat="1" applyFont="1" applyFill="1" applyBorder="1" applyAlignment="1" applyProtection="1">
      <alignment horizontal="center" vertical="center"/>
    </xf>
    <xf numFmtId="164" fontId="15" fillId="12" borderId="12" xfId="2" applyNumberFormat="1" applyFont="1" applyFill="1" applyBorder="1" applyAlignment="1" applyProtection="1">
      <alignment horizontal="center" vertical="center"/>
    </xf>
    <xf numFmtId="164" fontId="15" fillId="13" borderId="1" xfId="2" applyNumberFormat="1" applyFont="1" applyFill="1" applyBorder="1" applyAlignment="1" applyProtection="1">
      <alignment horizontal="center" vertical="center"/>
    </xf>
    <xf numFmtId="164" fontId="15" fillId="13" borderId="0" xfId="0" applyNumberFormat="1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 shrinkToFit="1"/>
    </xf>
    <xf numFmtId="0" fontId="15" fillId="13" borderId="0" xfId="0" applyFont="1" applyFill="1" applyBorder="1" applyAlignment="1" applyProtection="1">
      <alignment horizontal="center" vertical="center"/>
    </xf>
    <xf numFmtId="171" fontId="15" fillId="9" borderId="1" xfId="0" applyNumberFormat="1" applyFont="1" applyFill="1" applyBorder="1" applyAlignment="1" applyProtection="1">
      <alignment horizontal="center" vertical="center"/>
    </xf>
    <xf numFmtId="165" fontId="15" fillId="12" borderId="1" xfId="0" applyNumberFormat="1" applyFont="1" applyFill="1" applyBorder="1" applyAlignment="1" applyProtection="1">
      <alignment horizontal="center" vertical="center"/>
    </xf>
    <xf numFmtId="165" fontId="15" fillId="13" borderId="1" xfId="0" applyNumberFormat="1" applyFont="1" applyFill="1" applyBorder="1" applyAlignment="1" applyProtection="1">
      <alignment horizontal="center" vertical="center"/>
    </xf>
    <xf numFmtId="0" fontId="15" fillId="7" borderId="7" xfId="0" applyFont="1" applyFill="1" applyBorder="1" applyAlignment="1" applyProtection="1">
      <alignment horizontal="left" vertical="center" wrapText="1"/>
    </xf>
    <xf numFmtId="0" fontId="15" fillId="7" borderId="13" xfId="0" applyFont="1" applyFill="1" applyBorder="1" applyAlignment="1" applyProtection="1">
      <alignment horizontal="left" vertical="center" wrapText="1"/>
    </xf>
    <xf numFmtId="0" fontId="15" fillId="7" borderId="0" xfId="0" applyFont="1" applyFill="1" applyBorder="1" applyAlignment="1" applyProtection="1">
      <alignment horizontal="left" vertical="center" wrapText="1"/>
    </xf>
    <xf numFmtId="0" fontId="15" fillId="7" borderId="5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0" fontId="15" fillId="7" borderId="14" xfId="0" applyFont="1" applyFill="1" applyBorder="1" applyAlignment="1" applyProtection="1">
      <alignment horizontal="left" vertical="center" wrapText="1"/>
    </xf>
    <xf numFmtId="170" fontId="15" fillId="13" borderId="1" xfId="0" applyNumberFormat="1" applyFont="1" applyFill="1" applyBorder="1" applyAlignment="1" applyProtection="1">
      <alignment horizontal="center"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49" fontId="0" fillId="7" borderId="8" xfId="0" applyNumberFormat="1" applyFill="1" applyBorder="1" applyAlignment="1">
      <alignment horizontal="center" vertical="center"/>
    </xf>
  </cellXfs>
  <cellStyles count="28">
    <cellStyle name="Hyperlink" xfId="1" builtinId="8"/>
    <cellStyle name="Normal" xfId="0" builtinId="0"/>
    <cellStyle name="Normal 2" xfId="2"/>
    <cellStyle name="Normal 3" xfId="3"/>
    <cellStyle name="Normal 3 2" xfId="14"/>
    <cellStyle name="Normal 3 3" xfId="15"/>
    <cellStyle name="Normal 3 4" xfId="8"/>
    <cellStyle name="Normal 4" xfId="4"/>
    <cellStyle name="Normal 4 2" xfId="16"/>
    <cellStyle name="Normal 4 3" xfId="17"/>
    <cellStyle name="Normal 4 4" xfId="10"/>
    <cellStyle name="Normal 4 5" xfId="27"/>
    <cellStyle name="Normal 5" xfId="5"/>
    <cellStyle name="Normal 5 2" xfId="18"/>
    <cellStyle name="Normal 5 3" xfId="19"/>
    <cellStyle name="Normal 5 4" xfId="11"/>
    <cellStyle name="Normal 6" xfId="6"/>
    <cellStyle name="Normal 6 2" xfId="20"/>
    <cellStyle name="Normal 6 3" xfId="21"/>
    <cellStyle name="Normal 6 4" xfId="12"/>
    <cellStyle name="Normal 7" xfId="7"/>
    <cellStyle name="Normal 7 2" xfId="22"/>
    <cellStyle name="Normal 7 3" xfId="23"/>
    <cellStyle name="Normal 7 4" xfId="13"/>
    <cellStyle name="Normal 8" xfId="26"/>
    <cellStyle name="Percent" xfId="25" builtinId="5"/>
    <cellStyle name="Percent 2" xfId="24"/>
    <cellStyle name="Percent 3" xfId="9"/>
  </cellStyles>
  <dxfs count="0"/>
  <tableStyles count="0" defaultTableStyle="TableStyleMedium2" defaultPivotStyle="PivotStyleLight16"/>
  <colors>
    <mruColors>
      <color rgb="FFC2D597"/>
      <color rgb="FFFFFF99"/>
      <color rgb="FF0000CC"/>
      <color rgb="FFFF00FF"/>
      <color rgb="FFFF9900"/>
      <color rgb="FFBDD28E"/>
      <color rgb="FFA7FFA7"/>
      <color rgb="FF8FFF8F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Information Only: Determination</a:t>
            </a:r>
            <a:r>
              <a:rPr lang="en-US" sz="1600" baseline="0"/>
              <a:t> of Optimum Asphalt Content (ISSA TB 111)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Excess Binder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'JMF SHEET PG 2'!$U$15:$U$17</c:f>
              <c:numCache>
                <c:formatCode>0.0</c:formatCode>
                <c:ptCount val="3"/>
                <c:pt idx="0">
                  <c:v>7</c:v>
                </c:pt>
                <c:pt idx="1">
                  <c:v>8</c:v>
                </c:pt>
                <c:pt idx="2">
                  <c:v>8.5</c:v>
                </c:pt>
              </c:numCache>
            </c:numRef>
          </c:xVal>
          <c:yVal>
            <c:numRef>
              <c:f>'JMF SHEET PG 2'!$V$15:$V$17</c:f>
              <c:numCache>
                <c:formatCode>General</c:formatCode>
                <c:ptCount val="3"/>
                <c:pt idx="0">
                  <c:v>71</c:v>
                </c:pt>
                <c:pt idx="1">
                  <c:v>52.1</c:v>
                </c:pt>
                <c:pt idx="2">
                  <c:v>97.8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5F-4500-BB36-E15F0991F0A7}"/>
            </c:ext>
          </c:extLst>
        </c:ser>
        <c:ser>
          <c:idx val="1"/>
          <c:order val="1"/>
          <c:tx>
            <c:v>Wet Track 6-day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'JMF SHEET PG 2'!$U$15:$U$17</c:f>
              <c:numCache>
                <c:formatCode>0.0</c:formatCode>
                <c:ptCount val="3"/>
                <c:pt idx="0">
                  <c:v>7</c:v>
                </c:pt>
                <c:pt idx="1">
                  <c:v>8</c:v>
                </c:pt>
                <c:pt idx="2">
                  <c:v>8.5</c:v>
                </c:pt>
              </c:numCache>
            </c:numRef>
          </c:xVal>
          <c:yVal>
            <c:numRef>
              <c:f>'JMF SHEET PG 2'!$X$15:$X$17</c:f>
              <c:numCache>
                <c:formatCode>General</c:formatCode>
                <c:ptCount val="3"/>
                <c:pt idx="0">
                  <c:v>565.9</c:v>
                </c:pt>
                <c:pt idx="1">
                  <c:v>269.8</c:v>
                </c:pt>
                <c:pt idx="2">
                  <c:v>187.5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C5F-4500-BB36-E15F0991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09680"/>
        <c:axId val="691120200"/>
      </c:scatterChart>
      <c:valAx>
        <c:axId val="502609680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% 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20200"/>
        <c:crosses val="autoZero"/>
        <c:crossBetween val="midCat"/>
      </c:valAx>
      <c:valAx>
        <c:axId val="69112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g/m</a:t>
                </a:r>
                <a:r>
                  <a:rPr lang="en-US" sz="1400" baseline="30000"/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609680"/>
        <c:crosses val="autoZero"/>
        <c:crossBetween val="midCat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2D59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</a:t>
            </a:r>
            <a:r>
              <a:rPr lang="en-US" baseline="0"/>
              <a:t> 1 </a:t>
            </a:r>
            <a:r>
              <a:rPr lang="en-US"/>
              <a:t>GRADATION</a:t>
            </a:r>
          </a:p>
        </c:rich>
      </c:tx>
      <c:layout>
        <c:manualLayout>
          <c:xMode val="edge"/>
          <c:yMode val="edge"/>
          <c:x val="0.37511567497361797"/>
          <c:y val="1.7372203474565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3281843968503E-2"/>
          <c:y val="6.6073707834355996E-2"/>
          <c:w val="0.86267397574431492"/>
          <c:h val="0.861499498301795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DATA'!$F$4</c:f>
              <c:strCache>
                <c:ptCount val="1"/>
                <c:pt idx="0">
                  <c:v>AGG. 1 SOURCE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C0C0C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DATA'!$F$5:$F$12</c:f>
              <c:numCache>
                <c:formatCode>0</c:formatCode>
                <c:ptCount val="8"/>
                <c:pt idx="0">
                  <c:v>100</c:v>
                </c:pt>
                <c:pt idx="1">
                  <c:v>94</c:v>
                </c:pt>
                <c:pt idx="2">
                  <c:v>76</c:v>
                </c:pt>
                <c:pt idx="3">
                  <c:v>52</c:v>
                </c:pt>
                <c:pt idx="4">
                  <c:v>34</c:v>
                </c:pt>
                <c:pt idx="5">
                  <c:v>22</c:v>
                </c:pt>
                <c:pt idx="6">
                  <c:v>14</c:v>
                </c:pt>
                <c:pt idx="7" formatCode="0.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B9-4B60-BD79-4CC37EC83EDC}"/>
            </c:ext>
          </c:extLst>
        </c:ser>
        <c:ser>
          <c:idx val="3"/>
          <c:order val="1"/>
          <c:tx>
            <c:strRef>
              <c:f>'GRAPH DATA'!$G$4</c:f>
              <c:strCache>
                <c:ptCount val="1"/>
                <c:pt idx="0">
                  <c:v>AGG. 1 LAB</c:v>
                </c:pt>
              </c:strCache>
            </c:strRef>
          </c:tx>
          <c:spPr>
            <a:ln>
              <a:prstDash val="dash"/>
            </a:ln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DATA'!$G$5:$G$12</c:f>
              <c:numCache>
                <c:formatCode>General</c:formatCode>
                <c:ptCount val="8"/>
                <c:pt idx="0">
                  <c:v>100</c:v>
                </c:pt>
                <c:pt idx="1">
                  <c:v>94</c:v>
                </c:pt>
                <c:pt idx="2">
                  <c:v>79</c:v>
                </c:pt>
                <c:pt idx="3">
                  <c:v>52</c:v>
                </c:pt>
                <c:pt idx="4">
                  <c:v>33</c:v>
                </c:pt>
                <c:pt idx="5">
                  <c:v>20</c:v>
                </c:pt>
                <c:pt idx="6">
                  <c:v>12</c:v>
                </c:pt>
                <c:pt idx="7" formatCode="0.0">
                  <c:v>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B9-4B60-BD79-4CC37EC83EDC}"/>
            </c:ext>
          </c:extLst>
        </c:ser>
        <c:ser>
          <c:idx val="2"/>
          <c:order val="2"/>
          <c:tx>
            <c:strRef>
              <c:f>'GRAPH DATA'!$M$4</c:f>
              <c:strCache>
                <c:ptCount val="1"/>
                <c:pt idx="0">
                  <c:v>UPPER LIMIT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DATA'!$M$5:$M$12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65</c:v>
                </c:pt>
                <c:pt idx="4">
                  <c:v>45</c:v>
                </c:pt>
                <c:pt idx="5">
                  <c:v>25</c:v>
                </c:pt>
                <c:pt idx="6">
                  <c:v>#N/A</c:v>
                </c:pt>
                <c:pt idx="7" formatCode="0.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B9-4B60-BD79-4CC37EC83EDC}"/>
            </c:ext>
          </c:extLst>
        </c:ser>
        <c:ser>
          <c:idx val="1"/>
          <c:order val="3"/>
          <c:tx>
            <c:strRef>
              <c:f>'GRAPH DATA'!$L$4</c:f>
              <c:strCache>
                <c:ptCount val="1"/>
                <c:pt idx="0">
                  <c:v>LOWER LIMIT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DATA'!$L$5:$L$12</c:f>
              <c:numCache>
                <c:formatCode>0</c:formatCode>
                <c:ptCount val="8"/>
                <c:pt idx="0">
                  <c:v>100</c:v>
                </c:pt>
                <c:pt idx="1">
                  <c:v>85</c:v>
                </c:pt>
                <c:pt idx="2">
                  <c:v>50</c:v>
                </c:pt>
                <c:pt idx="3">
                  <c:v>40</c:v>
                </c:pt>
                <c:pt idx="4">
                  <c:v>25</c:v>
                </c:pt>
                <c:pt idx="5">
                  <c:v>13</c:v>
                </c:pt>
                <c:pt idx="6">
                  <c:v>#N/A</c:v>
                </c:pt>
                <c:pt idx="7" formatCode="0.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B9-4B60-BD79-4CC37EC83EDC}"/>
            </c:ext>
          </c:extLst>
        </c:ser>
        <c:ser>
          <c:idx val="6"/>
          <c:order val="4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DATA'!$D$5:$E$5</c:f>
              <c:numCache>
                <c:formatCode>General</c:formatCode>
                <c:ptCount val="2"/>
                <c:pt idx="0">
                  <c:v>0.64315266046116626</c:v>
                </c:pt>
                <c:pt idx="1">
                  <c:v>0.64315266046116626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B9-4B60-BD79-4CC37EC83EDC}"/>
            </c:ext>
          </c:extLst>
        </c:ser>
        <c:ser>
          <c:idx val="7"/>
          <c:order val="5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DATA'!$D$6:$E$6</c:f>
              <c:numCache>
                <c:formatCode>General</c:formatCode>
                <c:ptCount val="2"/>
                <c:pt idx="0">
                  <c:v>0.47024991198971094</c:v>
                </c:pt>
                <c:pt idx="1">
                  <c:v>0.47024991198971094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B9-4B60-BD79-4CC37EC83EDC}"/>
            </c:ext>
          </c:extLst>
        </c:ser>
        <c:ser>
          <c:idx val="8"/>
          <c:order val="6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DATA'!$D$7:$E$7</c:f>
              <c:numCache>
                <c:formatCode>General</c:formatCode>
                <c:ptCount val="2"/>
                <c:pt idx="0">
                  <c:v>0.3445742471112157</c:v>
                </c:pt>
                <c:pt idx="1">
                  <c:v>0.3445742471112157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B9-4B60-BD79-4CC37EC83EDC}"/>
            </c:ext>
          </c:extLst>
        </c:ser>
        <c:ser>
          <c:idx val="9"/>
          <c:order val="7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DATA'!$D$12:$E$12</c:f>
              <c:numCache>
                <c:formatCode>General</c:formatCode>
                <c:ptCount val="2"/>
                <c:pt idx="0">
                  <c:v>7.2123882811047119E-2</c:v>
                </c:pt>
                <c:pt idx="1">
                  <c:v>7.2123882811047119E-2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BB9-4B60-BD79-4CC37EC83EDC}"/>
            </c:ext>
          </c:extLst>
        </c:ser>
        <c:ser>
          <c:idx val="5"/>
          <c:order val="8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DATA'!$D$9:$E$9</c:f>
              <c:numCache>
                <c:formatCode>General</c:formatCode>
                <c:ptCount val="2"/>
                <c:pt idx="0">
                  <c:v>0.18456406029791109</c:v>
                </c:pt>
                <c:pt idx="1">
                  <c:v>0.18456406029791109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B9-4B60-BD79-4CC37EC83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61056"/>
        <c:axId val="119261448"/>
      </c:scatterChart>
      <c:valAx>
        <c:axId val="11926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SIEVE SIZES</a:t>
                </a:r>
              </a:p>
            </c:rich>
          </c:tx>
          <c:layout>
            <c:manualLayout>
              <c:xMode val="edge"/>
              <c:yMode val="edge"/>
              <c:x val="0.480184944665422"/>
              <c:y val="0.9590065825105195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61448"/>
        <c:crosses val="autoZero"/>
        <c:crossBetween val="midCat"/>
      </c:valAx>
      <c:valAx>
        <c:axId val="119261448"/>
        <c:scaling>
          <c:orientation val="minMax"/>
          <c:max val="100"/>
          <c:min val="0"/>
        </c:scaling>
        <c:delete val="0"/>
        <c:axPos val="l"/>
        <c:majorGridlines>
          <c:spPr>
            <a:ln w="2540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</a:t>
                </a:r>
              </a:p>
            </c:rich>
          </c:tx>
          <c:layout>
            <c:manualLayout>
              <c:xMode val="edge"/>
              <c:yMode val="edge"/>
              <c:x val="1.7075005425523225E-2"/>
              <c:y val="0.416772486772486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61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9130638309386583"/>
          <c:y val="0.52835333083364577"/>
          <c:w val="0.20701910328219281"/>
          <c:h val="0.191881014873140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</a:t>
            </a:r>
            <a:r>
              <a:rPr lang="en-US" baseline="0"/>
              <a:t> 1 </a:t>
            </a:r>
            <a:r>
              <a:rPr lang="en-US"/>
              <a:t>GRADATION</a:t>
            </a:r>
          </a:p>
        </c:rich>
      </c:tx>
      <c:layout>
        <c:manualLayout>
          <c:xMode val="edge"/>
          <c:yMode val="edge"/>
          <c:x val="0.37511567497361797"/>
          <c:y val="1.7372203474565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3281843968503E-2"/>
          <c:y val="6.6073707834355996E-2"/>
          <c:w val="0.86267397574431492"/>
          <c:h val="0.861499498301795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DATA'!$H$4</c:f>
              <c:strCache>
                <c:ptCount val="1"/>
                <c:pt idx="0">
                  <c:v>AGG. 2 SOURCE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C0C0C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DATA'!$H$5:$H$12</c:f>
              <c:numCache>
                <c:formatCode>General</c:formatCode>
                <c:ptCount val="8"/>
                <c:pt idx="0">
                  <c:v>100</c:v>
                </c:pt>
                <c:pt idx="1">
                  <c:v>90</c:v>
                </c:pt>
                <c:pt idx="2">
                  <c:v>75</c:v>
                </c:pt>
                <c:pt idx="3">
                  <c:v>57</c:v>
                </c:pt>
                <c:pt idx="4">
                  <c:v>29</c:v>
                </c:pt>
                <c:pt idx="5">
                  <c:v>18</c:v>
                </c:pt>
                <c:pt idx="6">
                  <c:v>14</c:v>
                </c:pt>
                <c:pt idx="7" formatCode="0.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39-4D24-A8BD-5B3E1E4CD71B}"/>
            </c:ext>
          </c:extLst>
        </c:ser>
        <c:ser>
          <c:idx val="3"/>
          <c:order val="1"/>
          <c:tx>
            <c:strRef>
              <c:f>'GRAPH DATA'!$I$4</c:f>
              <c:strCache>
                <c:ptCount val="1"/>
                <c:pt idx="0">
                  <c:v>AGG. 2 LAB</c:v>
                </c:pt>
              </c:strCache>
            </c:strRef>
          </c:tx>
          <c:spPr>
            <a:ln>
              <a:prstDash val="dash"/>
            </a:ln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DATA'!$I$5:$I$12</c:f>
              <c:numCache>
                <c:formatCode>General</c:formatCode>
                <c:ptCount val="8"/>
                <c:pt idx="0">
                  <c:v>100</c:v>
                </c:pt>
                <c:pt idx="1">
                  <c:v>96</c:v>
                </c:pt>
                <c:pt idx="2">
                  <c:v>82</c:v>
                </c:pt>
                <c:pt idx="3">
                  <c:v>57</c:v>
                </c:pt>
                <c:pt idx="4">
                  <c:v>37</c:v>
                </c:pt>
                <c:pt idx="5">
                  <c:v>23</c:v>
                </c:pt>
                <c:pt idx="6">
                  <c:v>13</c:v>
                </c:pt>
                <c:pt idx="7">
                  <c:v>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39-4D24-A8BD-5B3E1E4CD71B}"/>
            </c:ext>
          </c:extLst>
        </c:ser>
        <c:ser>
          <c:idx val="2"/>
          <c:order val="2"/>
          <c:tx>
            <c:strRef>
              <c:f>'GRAPH DATA'!$M$4</c:f>
              <c:strCache>
                <c:ptCount val="1"/>
                <c:pt idx="0">
                  <c:v>UPPER LIMIT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DATA'!$M$5:$M$12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65</c:v>
                </c:pt>
                <c:pt idx="4">
                  <c:v>45</c:v>
                </c:pt>
                <c:pt idx="5">
                  <c:v>25</c:v>
                </c:pt>
                <c:pt idx="6">
                  <c:v>#N/A</c:v>
                </c:pt>
                <c:pt idx="7" formatCode="0.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39-4D24-A8BD-5B3E1E4CD71B}"/>
            </c:ext>
          </c:extLst>
        </c:ser>
        <c:ser>
          <c:idx val="1"/>
          <c:order val="3"/>
          <c:tx>
            <c:strRef>
              <c:f>'GRAPH DATA'!$L$4</c:f>
              <c:strCache>
                <c:ptCount val="1"/>
                <c:pt idx="0">
                  <c:v>LOWER LIMIT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DATA'!$L$5:$L$12</c:f>
              <c:numCache>
                <c:formatCode>0</c:formatCode>
                <c:ptCount val="8"/>
                <c:pt idx="0">
                  <c:v>100</c:v>
                </c:pt>
                <c:pt idx="1">
                  <c:v>85</c:v>
                </c:pt>
                <c:pt idx="2">
                  <c:v>50</c:v>
                </c:pt>
                <c:pt idx="3">
                  <c:v>40</c:v>
                </c:pt>
                <c:pt idx="4">
                  <c:v>25</c:v>
                </c:pt>
                <c:pt idx="5">
                  <c:v>13</c:v>
                </c:pt>
                <c:pt idx="6">
                  <c:v>#N/A</c:v>
                </c:pt>
                <c:pt idx="7" formatCode="0.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39-4D24-A8BD-5B3E1E4CD71B}"/>
            </c:ext>
          </c:extLst>
        </c:ser>
        <c:ser>
          <c:idx val="6"/>
          <c:order val="4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DATA'!$D$5:$E$5</c:f>
              <c:numCache>
                <c:formatCode>General</c:formatCode>
                <c:ptCount val="2"/>
                <c:pt idx="0">
                  <c:v>0.64315266046116626</c:v>
                </c:pt>
                <c:pt idx="1">
                  <c:v>0.64315266046116626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39-4D24-A8BD-5B3E1E4CD71B}"/>
            </c:ext>
          </c:extLst>
        </c:ser>
        <c:ser>
          <c:idx val="7"/>
          <c:order val="5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DATA'!$D$6:$E$6</c:f>
              <c:numCache>
                <c:formatCode>General</c:formatCode>
                <c:ptCount val="2"/>
                <c:pt idx="0">
                  <c:v>0.47024991198971094</c:v>
                </c:pt>
                <c:pt idx="1">
                  <c:v>0.47024991198971094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39-4D24-A8BD-5B3E1E4CD71B}"/>
            </c:ext>
          </c:extLst>
        </c:ser>
        <c:ser>
          <c:idx val="8"/>
          <c:order val="6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DATA'!$D$7:$E$7</c:f>
              <c:numCache>
                <c:formatCode>General</c:formatCode>
                <c:ptCount val="2"/>
                <c:pt idx="0">
                  <c:v>0.3445742471112157</c:v>
                </c:pt>
                <c:pt idx="1">
                  <c:v>0.3445742471112157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39-4D24-A8BD-5B3E1E4CD71B}"/>
            </c:ext>
          </c:extLst>
        </c:ser>
        <c:ser>
          <c:idx val="9"/>
          <c:order val="7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DATA'!$D$12:$E$12</c:f>
              <c:numCache>
                <c:formatCode>General</c:formatCode>
                <c:ptCount val="2"/>
                <c:pt idx="0">
                  <c:v>7.2123882811047119E-2</c:v>
                </c:pt>
                <c:pt idx="1">
                  <c:v>7.2123882811047119E-2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139-4D24-A8BD-5B3E1E4CD71B}"/>
            </c:ext>
          </c:extLst>
        </c:ser>
        <c:ser>
          <c:idx val="5"/>
          <c:order val="8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DATA'!$D$9:$E$9</c:f>
              <c:numCache>
                <c:formatCode>General</c:formatCode>
                <c:ptCount val="2"/>
                <c:pt idx="0">
                  <c:v>0.18456406029791109</c:v>
                </c:pt>
                <c:pt idx="1">
                  <c:v>0.18456406029791109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39-4D24-A8BD-5B3E1E4C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62624"/>
        <c:axId val="119263016"/>
      </c:scatterChart>
      <c:valAx>
        <c:axId val="1192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SIEVE SIZES</a:t>
                </a:r>
              </a:p>
            </c:rich>
          </c:tx>
          <c:layout>
            <c:manualLayout>
              <c:xMode val="edge"/>
              <c:yMode val="edge"/>
              <c:x val="0.480184944665422"/>
              <c:y val="0.9590065825105195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63016"/>
        <c:crosses val="autoZero"/>
        <c:crossBetween val="midCat"/>
      </c:valAx>
      <c:valAx>
        <c:axId val="119263016"/>
        <c:scaling>
          <c:orientation val="minMax"/>
          <c:max val="100"/>
          <c:min val="0"/>
        </c:scaling>
        <c:delete val="0"/>
        <c:axPos val="l"/>
        <c:majorGridlines>
          <c:spPr>
            <a:ln w="2540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</a:t>
                </a:r>
              </a:p>
            </c:rich>
          </c:tx>
          <c:layout>
            <c:manualLayout>
              <c:xMode val="edge"/>
              <c:yMode val="edge"/>
              <c:x val="1.7075005425523225E-2"/>
              <c:y val="0.416772486772486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626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9130638309386583"/>
          <c:y val="0.52835333083364577"/>
          <c:w val="0.20701910328219281"/>
          <c:h val="0.191881014873140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</a:t>
            </a:r>
            <a:r>
              <a:rPr lang="en-US" baseline="0"/>
              <a:t> BLEND </a:t>
            </a:r>
            <a:r>
              <a:rPr lang="en-US"/>
              <a:t>GRADATION</a:t>
            </a:r>
          </a:p>
        </c:rich>
      </c:tx>
      <c:layout>
        <c:manualLayout>
          <c:xMode val="edge"/>
          <c:yMode val="edge"/>
          <c:x val="0.37511567497361797"/>
          <c:y val="1.7372203474565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3281843968503E-2"/>
          <c:y val="6.6073707834355996E-2"/>
          <c:w val="0.86267397574431492"/>
          <c:h val="0.861499498301795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DATA'!$J$4</c:f>
              <c:strCache>
                <c:ptCount val="1"/>
                <c:pt idx="0">
                  <c:v>AGG. BLEND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C0C0C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DATA'!$J$5:$J$12</c:f>
              <c:numCache>
                <c:formatCode>0</c:formatCode>
                <c:ptCount val="8"/>
                <c:pt idx="0">
                  <c:v>100</c:v>
                </c:pt>
                <c:pt idx="1">
                  <c:v>92</c:v>
                </c:pt>
                <c:pt idx="2">
                  <c:v>76</c:v>
                </c:pt>
                <c:pt idx="3">
                  <c:v>55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 formatCode="0.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6-484D-B811-A4F8E9EAB614}"/>
            </c:ext>
          </c:extLst>
        </c:ser>
        <c:ser>
          <c:idx val="3"/>
          <c:order val="1"/>
          <c:tx>
            <c:strRef>
              <c:f>'GRAPH DATA'!$K$4</c:f>
              <c:strCache>
                <c:ptCount val="1"/>
                <c:pt idx="0">
                  <c:v>LAB VER.</c:v>
                </c:pt>
              </c:strCache>
            </c:strRef>
          </c:tx>
          <c:spPr>
            <a:ln>
              <a:prstDash val="dash"/>
            </a:ln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DATA'!$K$5:$K$12</c:f>
              <c:numCache>
                <c:formatCode>0</c:formatCode>
                <c:ptCount val="8"/>
                <c:pt idx="0">
                  <c:v>100</c:v>
                </c:pt>
                <c:pt idx="1">
                  <c:v>95</c:v>
                </c:pt>
                <c:pt idx="2">
                  <c:v>81</c:v>
                </c:pt>
                <c:pt idx="3">
                  <c:v>55</c:v>
                </c:pt>
                <c:pt idx="4">
                  <c:v>35</c:v>
                </c:pt>
                <c:pt idx="5">
                  <c:v>22</c:v>
                </c:pt>
                <c:pt idx="6">
                  <c:v>13</c:v>
                </c:pt>
                <c:pt idx="7" formatCode="0.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6-484D-B811-A4F8E9EAB614}"/>
            </c:ext>
          </c:extLst>
        </c:ser>
        <c:ser>
          <c:idx val="2"/>
          <c:order val="2"/>
          <c:tx>
            <c:strRef>
              <c:f>'GRAPH DATA'!$M$4</c:f>
              <c:strCache>
                <c:ptCount val="1"/>
                <c:pt idx="0">
                  <c:v>UPPER LIMIT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DATA'!$M$5:$M$12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65</c:v>
                </c:pt>
                <c:pt idx="4">
                  <c:v>45</c:v>
                </c:pt>
                <c:pt idx="5">
                  <c:v>25</c:v>
                </c:pt>
                <c:pt idx="6">
                  <c:v>#N/A</c:v>
                </c:pt>
                <c:pt idx="7" formatCode="0.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D6-484D-B811-A4F8E9EAB614}"/>
            </c:ext>
          </c:extLst>
        </c:ser>
        <c:ser>
          <c:idx val="1"/>
          <c:order val="3"/>
          <c:tx>
            <c:strRef>
              <c:f>'GRAPH DATA'!$L$4</c:f>
              <c:strCache>
                <c:ptCount val="1"/>
                <c:pt idx="0">
                  <c:v>LOWER LIMIT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'GRAPH DATA'!$D$5:$D$12</c:f>
              <c:numCache>
                <c:formatCode>General</c:formatCode>
                <c:ptCount val="8"/>
                <c:pt idx="0">
                  <c:v>0.64315266046116626</c:v>
                </c:pt>
                <c:pt idx="1">
                  <c:v>0.47024991198971094</c:v>
                </c:pt>
                <c:pt idx="2">
                  <c:v>0.3445742471112157</c:v>
                </c:pt>
                <c:pt idx="3">
                  <c:v>0.2523642189622568</c:v>
                </c:pt>
                <c:pt idx="4">
                  <c:v>0.18456406029791109</c:v>
                </c:pt>
                <c:pt idx="5">
                  <c:v>0.13510880033390882</c:v>
                </c:pt>
                <c:pt idx="6">
                  <c:v>9.9284946297893126E-2</c:v>
                </c:pt>
                <c:pt idx="7">
                  <c:v>7.2123882811047119E-2</c:v>
                </c:pt>
              </c:numCache>
            </c:numRef>
          </c:xVal>
          <c:yVal>
            <c:numRef>
              <c:f>'GRAPH DATA'!$L$5:$L$12</c:f>
              <c:numCache>
                <c:formatCode>0</c:formatCode>
                <c:ptCount val="8"/>
                <c:pt idx="0">
                  <c:v>100</c:v>
                </c:pt>
                <c:pt idx="1">
                  <c:v>85</c:v>
                </c:pt>
                <c:pt idx="2">
                  <c:v>50</c:v>
                </c:pt>
                <c:pt idx="3">
                  <c:v>40</c:v>
                </c:pt>
                <c:pt idx="4">
                  <c:v>25</c:v>
                </c:pt>
                <c:pt idx="5">
                  <c:v>13</c:v>
                </c:pt>
                <c:pt idx="6">
                  <c:v>#N/A</c:v>
                </c:pt>
                <c:pt idx="7" formatCode="0.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6-484D-B811-A4F8E9EAB614}"/>
            </c:ext>
          </c:extLst>
        </c:ser>
        <c:ser>
          <c:idx val="6"/>
          <c:order val="4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DATA'!$D$5:$E$5</c:f>
              <c:numCache>
                <c:formatCode>General</c:formatCode>
                <c:ptCount val="2"/>
                <c:pt idx="0">
                  <c:v>0.64315266046116626</c:v>
                </c:pt>
                <c:pt idx="1">
                  <c:v>0.64315266046116626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D6-484D-B811-A4F8E9EAB614}"/>
            </c:ext>
          </c:extLst>
        </c:ser>
        <c:ser>
          <c:idx val="7"/>
          <c:order val="5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DATA'!$D$6:$E$6</c:f>
              <c:numCache>
                <c:formatCode>General</c:formatCode>
                <c:ptCount val="2"/>
                <c:pt idx="0">
                  <c:v>0.47024991198971094</c:v>
                </c:pt>
                <c:pt idx="1">
                  <c:v>0.47024991198971094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D6-484D-B811-A4F8E9EAB614}"/>
            </c:ext>
          </c:extLst>
        </c:ser>
        <c:ser>
          <c:idx val="8"/>
          <c:order val="6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DATA'!$D$7:$E$7</c:f>
              <c:numCache>
                <c:formatCode>General</c:formatCode>
                <c:ptCount val="2"/>
                <c:pt idx="0">
                  <c:v>0.3445742471112157</c:v>
                </c:pt>
                <c:pt idx="1">
                  <c:v>0.3445742471112157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D6-484D-B811-A4F8E9EAB614}"/>
            </c:ext>
          </c:extLst>
        </c:ser>
        <c:ser>
          <c:idx val="9"/>
          <c:order val="7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DATA'!$D$12:$E$12</c:f>
              <c:numCache>
                <c:formatCode>General</c:formatCode>
                <c:ptCount val="2"/>
                <c:pt idx="0">
                  <c:v>7.2123882811047119E-2</c:v>
                </c:pt>
                <c:pt idx="1">
                  <c:v>7.2123882811047119E-2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1D6-484D-B811-A4F8E9EAB614}"/>
            </c:ext>
          </c:extLst>
        </c:ser>
        <c:ser>
          <c:idx val="5"/>
          <c:order val="8"/>
          <c:spPr>
            <a:ln w="3175">
              <a:solidFill>
                <a:schemeClr val="bg1">
                  <a:lumMod val="9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'GRAPH DATA'!$D$9:$E$9</c:f>
              <c:numCache>
                <c:formatCode>General</c:formatCode>
                <c:ptCount val="2"/>
                <c:pt idx="0">
                  <c:v>0.18456406029791109</c:v>
                </c:pt>
                <c:pt idx="1">
                  <c:v>0.18456406029791109</c:v>
                </c:pt>
              </c:numCache>
            </c:numRef>
          </c:xVal>
          <c:yVal>
            <c:numRef>
              <c:f>'GRAPH DATA'!$O$5:$P$5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D6-484D-B811-A4F8E9EAB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175968"/>
        <c:axId val="320176360"/>
      </c:scatterChart>
      <c:valAx>
        <c:axId val="32017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SIEVE SIZES</a:t>
                </a:r>
              </a:p>
            </c:rich>
          </c:tx>
          <c:layout>
            <c:manualLayout>
              <c:xMode val="edge"/>
              <c:yMode val="edge"/>
              <c:x val="0.480184944665422"/>
              <c:y val="0.9590065825105195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176360"/>
        <c:crosses val="autoZero"/>
        <c:crossBetween val="midCat"/>
      </c:valAx>
      <c:valAx>
        <c:axId val="320176360"/>
        <c:scaling>
          <c:orientation val="minMax"/>
          <c:max val="100"/>
          <c:min val="0"/>
        </c:scaling>
        <c:delete val="0"/>
        <c:axPos val="l"/>
        <c:majorGridlines>
          <c:spPr>
            <a:ln w="2540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</a:t>
                </a:r>
              </a:p>
            </c:rich>
          </c:tx>
          <c:layout>
            <c:manualLayout>
              <c:xMode val="edge"/>
              <c:yMode val="edge"/>
              <c:x val="1.7075005425523225E-2"/>
              <c:y val="0.416772486772486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1759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9130638309386583"/>
          <c:y val="0.52835333083364577"/>
          <c:w val="0.20701910328219281"/>
          <c:h val="0.191881014873140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8800266380742"/>
          <c:y val="6.3561806280239067E-2"/>
          <c:w val="0.84492593449111941"/>
          <c:h val="0.82098352095908433"/>
        </c:manualLayout>
      </c:layout>
      <c:scatterChart>
        <c:scatterStyle val="lineMarker"/>
        <c:varyColors val="0"/>
        <c:ser>
          <c:idx val="1"/>
          <c:order val="0"/>
          <c:tx>
            <c:v>Wet Unit Weight</c:v>
          </c:tx>
          <c:spPr>
            <a:ln>
              <a:prstDash val="lgDashDot"/>
            </a:ln>
          </c:spPr>
          <c:marker>
            <c:symbol val="triangle"/>
            <c:size val="6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'JMF SHEET PG 8'!$AW$45:$AW$55</c:f>
              <c:numCache>
                <c:formatCode>0.0%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xVal>
          <c:yVal>
            <c:numRef>
              <c:f>'JMF SHEET PG 8'!$AX$45:$AX$55</c:f>
              <c:numCache>
                <c:formatCode>0.0</c:formatCode>
                <c:ptCount val="11"/>
                <c:pt idx="0">
                  <c:v>150.2853194661275</c:v>
                </c:pt>
                <c:pt idx="1">
                  <c:v>147.16030687438911</c:v>
                </c:pt>
                <c:pt idx="2">
                  <c:v>143.48019336174983</c:v>
                </c:pt>
                <c:pt idx="3">
                  <c:v>141.3283206560352</c:v>
                </c:pt>
                <c:pt idx="4">
                  <c:v>142.2946074442701</c:v>
                </c:pt>
                <c:pt idx="5">
                  <c:v>142.35753134215</c:v>
                </c:pt>
                <c:pt idx="6">
                  <c:v>142.41983223113999</c:v>
                </c:pt>
                <c:pt idx="7">
                  <c:v>142.6690357871</c:v>
                </c:pt>
                <c:pt idx="8">
                  <c:v>143.5966960241611</c:v>
                </c:pt>
                <c:pt idx="9">
                  <c:v>144.22655801184999</c:v>
                </c:pt>
                <c:pt idx="10">
                  <c:v>144.84956690174999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3-492F-A693-33642E80200E}"/>
            </c:ext>
          </c:extLst>
        </c:ser>
        <c:ser>
          <c:idx val="0"/>
          <c:order val="1"/>
          <c:tx>
            <c:v>Dry Unit Weight</c:v>
          </c:tx>
          <c:spPr>
            <a:ln w="28575">
              <a:solidFill>
                <a:schemeClr val="tx2"/>
              </a:solidFill>
              <a:prstDash val="lgDash"/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'JMF SHEET PG 8'!$AW$45:$AW$55</c:f>
              <c:numCache>
                <c:formatCode>0.0%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xVal>
          <c:yVal>
            <c:numRef>
              <c:f>'JMF SHEET PG 8'!$AY$45:$AY$55</c:f>
              <c:numCache>
                <c:formatCode>0.0</c:formatCode>
                <c:ptCount val="11"/>
                <c:pt idx="0">
                  <c:v>150.2853194661275</c:v>
                </c:pt>
                <c:pt idx="1">
                  <c:v>145.70327413305853</c:v>
                </c:pt>
                <c:pt idx="2">
                  <c:v>140.66685623700963</c:v>
                </c:pt>
                <c:pt idx="3">
                  <c:v>137.21196180197592</c:v>
                </c:pt>
                <c:pt idx="4">
                  <c:v>136.8217379271828</c:v>
                </c:pt>
                <c:pt idx="5">
                  <c:v>135.5786012782381</c:v>
                </c:pt>
                <c:pt idx="6">
                  <c:v>134.35833229352829</c:v>
                </c:pt>
                <c:pt idx="7">
                  <c:v>133.33554746457943</c:v>
                </c:pt>
                <c:pt idx="8">
                  <c:v>132.95990372607508</c:v>
                </c:pt>
                <c:pt idx="9">
                  <c:v>132.31794313013759</c:v>
                </c:pt>
                <c:pt idx="10">
                  <c:v>131.68142445613634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D3-492F-A693-33642E802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179104"/>
        <c:axId val="320179496"/>
      </c:scatterChart>
      <c:valAx>
        <c:axId val="32017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Moisture</a:t>
                </a:r>
              </a:p>
            </c:rich>
          </c:tx>
          <c:layout>
            <c:manualLayout>
              <c:xMode val="edge"/>
              <c:yMode val="edge"/>
              <c:x val="0.46763921081895093"/>
              <c:y val="0.94868355646525615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20179496"/>
        <c:crosses val="autoZero"/>
        <c:crossBetween val="midCat"/>
        <c:majorUnit val="1.0000000000000002E-2"/>
      </c:valAx>
      <c:valAx>
        <c:axId val="320179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Weight (lb/ft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9.1428362104689301E-3"/>
              <c:y val="0.348815764740282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20179104"/>
        <c:crosses val="autoZero"/>
        <c:crossBetween val="midCat"/>
        <c:majorUnit val="5"/>
        <c:minorUnit val="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3703850649410987"/>
          <c:y val="0.15344973788090813"/>
          <c:w val="0.28003831189208206"/>
          <c:h val="0.13659182522609076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68580</xdr:colOff>
      <xdr:row>0</xdr:row>
      <xdr:rowOff>30480</xdr:rowOff>
    </xdr:from>
    <xdr:to>
      <xdr:col>22</xdr:col>
      <xdr:colOff>121920</xdr:colOff>
      <xdr:row>5</xdr:row>
      <xdr:rowOff>167154</xdr:rowOff>
    </xdr:to>
    <xdr:pic>
      <xdr:nvPicPr>
        <xdr:cNvPr id="1164818" name="Picture 3" descr="U:\StoneCoLogo\ODOT1.bmp">
          <a:extLst>
            <a:ext uri="{FF2B5EF4-FFF2-40B4-BE49-F238E27FC236}">
              <a16:creationId xmlns:a16="http://schemas.microsoft.com/office/drawing/2014/main" id="{00000000-0008-0000-0300-000012C611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0" y="30480"/>
          <a:ext cx="1005840" cy="101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87381</xdr:colOff>
      <xdr:row>6</xdr:row>
      <xdr:rowOff>139336</xdr:rowOff>
    </xdr:to>
    <xdr:pic>
      <xdr:nvPicPr>
        <xdr:cNvPr id="2" name="Picture 3" descr="U:\StoneCoLogo\ODOT1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258" y="87085"/>
          <a:ext cx="1064623" cy="110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39</xdr:col>
      <xdr:colOff>152400</xdr:colOff>
      <xdr:row>61</xdr:row>
      <xdr:rowOff>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16561</xdr:colOff>
      <xdr:row>59</xdr:row>
      <xdr:rowOff>133368</xdr:rowOff>
    </xdr:from>
    <xdr:to>
      <xdr:col>35</xdr:col>
      <xdr:colOff>60961</xdr:colOff>
      <xdr:row>60</xdr:row>
      <xdr:rowOff>152425</xdr:rowOff>
    </xdr:to>
    <xdr:grpSp>
      <xdr:nvGrpSpPr>
        <xdr:cNvPr id="44" name="Group 19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GrpSpPr>
          <a:grpSpLocks/>
        </xdr:cNvGrpSpPr>
      </xdr:nvGrpSpPr>
      <xdr:grpSpPr bwMode="auto">
        <a:xfrm>
          <a:off x="1159561" y="11910750"/>
          <a:ext cx="5568900" cy="243175"/>
          <a:chOff x="90" y="638"/>
          <a:chExt cx="237" cy="13"/>
        </a:xfrm>
      </xdr:grpSpPr>
      <xdr:sp macro="" textlink="">
        <xdr:nvSpPr>
          <xdr:cNvPr id="45" name="Text Box 3"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" y="638"/>
            <a:ext cx="16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#200</a:t>
            </a:r>
          </a:p>
        </xdr:txBody>
      </xdr:sp>
      <xdr:sp macro="" textlink="">
        <xdr:nvSpPr>
          <xdr:cNvPr id="46" name="Text Box 4"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" y="638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#100</a:t>
            </a:r>
          </a:p>
        </xdr:txBody>
      </xdr:sp>
      <xdr:sp macro="" textlink="">
        <xdr:nvSpPr>
          <xdr:cNvPr id="47" name="Text Box 5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" y="638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#50</a:t>
            </a:r>
          </a:p>
        </xdr:txBody>
      </xdr:sp>
      <xdr:sp macro="" textlink="">
        <xdr:nvSpPr>
          <xdr:cNvPr id="48" name="Text Box 6"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" y="638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#30</a:t>
            </a:r>
          </a:p>
        </xdr:txBody>
      </xdr:sp>
      <xdr:sp macro="" textlink="">
        <xdr:nvSpPr>
          <xdr:cNvPr id="49" name="Text Box 7"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638"/>
            <a:ext cx="1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#16</a:t>
            </a:r>
          </a:p>
        </xdr:txBody>
      </xdr:sp>
      <xdr:sp macro="" textlink="">
        <xdr:nvSpPr>
          <xdr:cNvPr id="50" name="Text Box 8"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#8</a:t>
            </a:r>
          </a:p>
        </xdr:txBody>
      </xdr:sp>
      <xdr:sp macro="" textlink="">
        <xdr:nvSpPr>
          <xdr:cNvPr id="51" name="Text Box 9"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" y="638"/>
            <a:ext cx="1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#4</a:t>
            </a:r>
          </a:p>
        </xdr:txBody>
      </xdr:sp>
      <xdr:sp macro="" textlink="">
        <xdr:nvSpPr>
          <xdr:cNvPr id="52" name="Text Box 10"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3/8"</a:t>
            </a:r>
          </a:p>
        </xdr:txBody>
      </xdr:sp>
    </xdr:grp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87381</xdr:colOff>
      <xdr:row>6</xdr:row>
      <xdr:rowOff>139336</xdr:rowOff>
    </xdr:to>
    <xdr:pic>
      <xdr:nvPicPr>
        <xdr:cNvPr id="2" name="Picture 3" descr="U:\StoneCoLogo\ODOT1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258" y="87085"/>
          <a:ext cx="1064623" cy="110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45</xdr:col>
      <xdr:colOff>186267</xdr:colOff>
      <xdr:row>59</xdr:row>
      <xdr:rowOff>215900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29403</xdr:colOff>
      <xdr:row>6</xdr:row>
      <xdr:rowOff>139336</xdr:rowOff>
    </xdr:to>
    <xdr:pic>
      <xdr:nvPicPr>
        <xdr:cNvPr id="3957513" name="Picture 3" descr="U:\StoneCoLogo\ODOT1.bmp">
          <a:extLst>
            <a:ext uri="{FF2B5EF4-FFF2-40B4-BE49-F238E27FC236}">
              <a16:creationId xmlns:a16="http://schemas.microsoft.com/office/drawing/2014/main" id="{00000000-0008-0000-0400-000009633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787" y="87085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3833</xdr:colOff>
      <xdr:row>0</xdr:row>
      <xdr:rowOff>29935</xdr:rowOff>
    </xdr:from>
    <xdr:to>
      <xdr:col>5</xdr:col>
      <xdr:colOff>458856</xdr:colOff>
      <xdr:row>6</xdr:row>
      <xdr:rowOff>139336</xdr:rowOff>
    </xdr:to>
    <xdr:pic>
      <xdr:nvPicPr>
        <xdr:cNvPr id="2" name="Picture 1" descr="U:\StoneCoLogo\ODOT1.bmp">
          <a:extLst>
            <a:ext uri="{FF2B5EF4-FFF2-40B4-BE49-F238E27FC236}">
              <a16:creationId xmlns:a16="http://schemas.microsoft.com/office/drawing/2014/main" id="{409A23F1-C51E-454F-9669-19C197E38D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333" y="29935"/>
          <a:ext cx="1064623" cy="1080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14</xdr:row>
      <xdr:rowOff>28575</xdr:rowOff>
    </xdr:from>
    <xdr:to>
      <xdr:col>11</xdr:col>
      <xdr:colOff>9525</xdr:colOff>
      <xdr:row>44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7C10E2-501F-4975-B6B3-828D996CF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3833</xdr:colOff>
      <xdr:row>0</xdr:row>
      <xdr:rowOff>29935</xdr:rowOff>
    </xdr:from>
    <xdr:to>
      <xdr:col>7</xdr:col>
      <xdr:colOff>458856</xdr:colOff>
      <xdr:row>6</xdr:row>
      <xdr:rowOff>139336</xdr:rowOff>
    </xdr:to>
    <xdr:pic>
      <xdr:nvPicPr>
        <xdr:cNvPr id="4" name="Picture 3" descr="U:\StoneCoLogo\ODOT1.bmp">
          <a:extLst>
            <a:ext uri="{FF2B5EF4-FFF2-40B4-BE49-F238E27FC236}">
              <a16:creationId xmlns:a16="http://schemas.microsoft.com/office/drawing/2014/main" id="{68BF9A2F-FDF2-4F42-A85E-3858B798F1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333" y="29935"/>
          <a:ext cx="1064623" cy="1080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87381</xdr:colOff>
      <xdr:row>6</xdr:row>
      <xdr:rowOff>139336</xdr:rowOff>
    </xdr:to>
    <xdr:pic>
      <xdr:nvPicPr>
        <xdr:cNvPr id="2" name="Picture 3" descr="U:\StoneCoLogo\ODOT1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258" y="87085"/>
          <a:ext cx="1064623" cy="110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87381</xdr:colOff>
      <xdr:row>6</xdr:row>
      <xdr:rowOff>139336</xdr:rowOff>
    </xdr:to>
    <xdr:pic>
      <xdr:nvPicPr>
        <xdr:cNvPr id="2" name="Picture 3" descr="U:\StoneCoLogo\ODOT1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258" y="87085"/>
          <a:ext cx="1064623" cy="110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39</xdr:col>
      <xdr:colOff>152400</xdr:colOff>
      <xdr:row>77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16561</xdr:colOff>
      <xdr:row>75</xdr:row>
      <xdr:rowOff>133368</xdr:rowOff>
    </xdr:from>
    <xdr:to>
      <xdr:col>35</xdr:col>
      <xdr:colOff>60961</xdr:colOff>
      <xdr:row>76</xdr:row>
      <xdr:rowOff>152425</xdr:rowOff>
    </xdr:to>
    <xdr:grpSp>
      <xdr:nvGrpSpPr>
        <xdr:cNvPr id="15" name="Group 19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pSpPr>
          <a:grpSpLocks/>
        </xdr:cNvGrpSpPr>
      </xdr:nvGrpSpPr>
      <xdr:grpSpPr bwMode="auto">
        <a:xfrm>
          <a:off x="1159561" y="16306818"/>
          <a:ext cx="5568900" cy="247657"/>
          <a:chOff x="90" y="638"/>
          <a:chExt cx="237" cy="13"/>
        </a:xfrm>
      </xdr:grpSpPr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" y="638"/>
            <a:ext cx="16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#200</a:t>
            </a:r>
          </a:p>
        </xdr:txBody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" y="638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#100</a:t>
            </a:r>
          </a:p>
        </xdr:txBody>
      </xdr:sp>
      <xdr:sp macro="" textlink="">
        <xdr:nvSpPr>
          <xdr:cNvPr id="18" name="Text Box 5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" y="638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#50</a:t>
            </a:r>
          </a:p>
        </xdr:txBody>
      </xdr: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" y="638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#30</a:t>
            </a:r>
          </a:p>
        </xdr:txBody>
      </xdr:sp>
      <xdr:sp macro="" textlink="">
        <xdr:nvSpPr>
          <xdr:cNvPr id="20" name="Text Box 7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638"/>
            <a:ext cx="1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#16</a:t>
            </a:r>
          </a:p>
        </xdr:txBody>
      </xdr:sp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#8</a:t>
            </a:r>
          </a:p>
        </xdr:txBody>
      </xdr:sp>
      <xdr:sp macro="" textlink="">
        <xdr:nvSpPr>
          <xdr:cNvPr id="22" name="Text Box 9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" y="638"/>
            <a:ext cx="1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#4</a:t>
            </a:r>
          </a:p>
        </xdr:txBody>
      </xdr:sp>
      <xdr:sp macro="" textlink="">
        <xdr:nvSpPr>
          <xdr:cNvPr id="23" name="Text Box 10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3/8"</a:t>
            </a: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165758</xdr:colOff>
      <xdr:row>0</xdr:row>
      <xdr:rowOff>87085</xdr:rowOff>
    </xdr:from>
    <xdr:to>
      <xdr:col>23</xdr:col>
      <xdr:colOff>87381</xdr:colOff>
      <xdr:row>6</xdr:row>
      <xdr:rowOff>139336</xdr:rowOff>
    </xdr:to>
    <xdr:pic>
      <xdr:nvPicPr>
        <xdr:cNvPr id="2" name="Picture 3" descr="U:\StoneCoLogo\ODOT1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4258" y="87085"/>
          <a:ext cx="1064623" cy="110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39</xdr:col>
      <xdr:colOff>152400</xdr:colOff>
      <xdr:row>77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16561</xdr:colOff>
      <xdr:row>75</xdr:row>
      <xdr:rowOff>133368</xdr:rowOff>
    </xdr:from>
    <xdr:to>
      <xdr:col>35</xdr:col>
      <xdr:colOff>60961</xdr:colOff>
      <xdr:row>76</xdr:row>
      <xdr:rowOff>152425</xdr:rowOff>
    </xdr:to>
    <xdr:grpSp>
      <xdr:nvGrpSpPr>
        <xdr:cNvPr id="4" name="Group 1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>
          <a:grpSpLocks/>
        </xdr:cNvGrpSpPr>
      </xdr:nvGrpSpPr>
      <xdr:grpSpPr bwMode="auto">
        <a:xfrm>
          <a:off x="1159561" y="16306818"/>
          <a:ext cx="5568900" cy="247657"/>
          <a:chOff x="90" y="638"/>
          <a:chExt cx="237" cy="13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" y="638"/>
            <a:ext cx="16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#200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" y="638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#100</a:t>
            </a:r>
          </a:p>
        </xdr:txBody>
      </xdr:sp>
      <xdr:sp macro="" textlink="">
        <xdr:nvSpPr>
          <xdr:cNvPr id="7" name="Text Box 5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" y="638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#50</a:t>
            </a:r>
          </a:p>
        </xdr:txBody>
      </xdr:sp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" y="638"/>
            <a:ext cx="13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#30</a:t>
            </a:r>
          </a:p>
        </xdr:txBody>
      </xdr:sp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638"/>
            <a:ext cx="15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#16</a:t>
            </a:r>
          </a:p>
        </xdr:txBody>
      </xdr:sp>
      <xdr:sp macro="" textlink="">
        <xdr:nvSpPr>
          <xdr:cNvPr id="10" name="Text Box 8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#8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" y="638"/>
            <a:ext cx="10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#4</a:t>
            </a:r>
          </a:p>
        </xdr:txBody>
      </xdr:sp>
      <xdr:sp macro="" textlink="">
        <xdr:nvSpPr>
          <xdr:cNvPr id="12" name="Text Box 10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" y="638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3/8"</a:t>
            </a: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0.00645</cdr:x>
      <cdr:y>0.00888</cdr:y>
    </cdr:from>
    <cdr:to>
      <cdr:x>0.09257</cdr:x>
      <cdr:y>0.09262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12714" cy="50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5"/>
  <sheetViews>
    <sheetView zoomScale="90" zoomScaleNormal="90" workbookViewId="0">
      <selection activeCell="U9" sqref="U9"/>
    </sheetView>
  </sheetViews>
  <sheetFormatPr defaultColWidth="8.85546875" defaultRowHeight="12.75" x14ac:dyDescent="0.2"/>
  <cols>
    <col min="1" max="1" width="2.85546875" style="25" customWidth="1"/>
    <col min="2" max="2" width="2.85546875" style="22" customWidth="1"/>
    <col min="3" max="4" width="2.85546875" style="25" customWidth="1"/>
    <col min="5" max="5" width="8.85546875" style="25"/>
    <col min="6" max="6" width="9.140625" style="25" bestFit="1" customWidth="1"/>
    <col min="7" max="16384" width="8.85546875" style="25"/>
  </cols>
  <sheetData>
    <row r="1" spans="1:14" x14ac:dyDescent="0.2">
      <c r="A1" s="166"/>
      <c r="B1" s="7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5" x14ac:dyDescent="0.2">
      <c r="A2" s="166"/>
      <c r="B2" s="167" t="s">
        <v>158</v>
      </c>
      <c r="C2" s="168" t="s">
        <v>970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5" x14ac:dyDescent="0.2">
      <c r="A3" s="166"/>
      <c r="B3" s="167"/>
      <c r="C3" s="191" t="s">
        <v>1640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4" ht="15" x14ac:dyDescent="0.2">
      <c r="A4" s="166"/>
      <c r="B4" s="167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4" x14ac:dyDescent="0.2">
      <c r="A5" s="166"/>
      <c r="B5" s="75"/>
      <c r="C5" s="169" t="s">
        <v>1620</v>
      </c>
      <c r="D5" s="169"/>
      <c r="E5" s="169"/>
      <c r="F5" s="169"/>
      <c r="G5" s="169"/>
      <c r="H5" s="169"/>
      <c r="I5" s="169"/>
      <c r="J5" s="169"/>
      <c r="K5" s="169"/>
      <c r="L5" s="169"/>
      <c r="M5" s="166"/>
    </row>
    <row r="6" spans="1:14" x14ac:dyDescent="0.2">
      <c r="A6" s="166"/>
      <c r="B6" s="75"/>
      <c r="C6" s="169" t="s">
        <v>1191</v>
      </c>
      <c r="D6" s="169"/>
      <c r="E6" s="169"/>
      <c r="F6" s="169"/>
      <c r="G6" s="169"/>
      <c r="H6" s="169"/>
      <c r="I6" s="169"/>
      <c r="J6" s="169"/>
      <c r="K6" s="169"/>
      <c r="L6" s="169"/>
      <c r="M6" s="166"/>
    </row>
    <row r="7" spans="1:14" x14ac:dyDescent="0.2">
      <c r="A7" s="166"/>
      <c r="B7" s="75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6"/>
    </row>
    <row r="8" spans="1:14" ht="15" x14ac:dyDescent="0.2">
      <c r="A8" s="166"/>
      <c r="B8" s="167"/>
      <c r="C8" s="192" t="s">
        <v>1634</v>
      </c>
      <c r="D8" s="192"/>
      <c r="E8" s="192"/>
      <c r="F8" s="192"/>
      <c r="G8" s="192"/>
      <c r="H8" s="192"/>
      <c r="I8" s="192"/>
      <c r="J8" s="192"/>
      <c r="K8" s="192"/>
      <c r="L8" s="192"/>
      <c r="M8" s="166"/>
    </row>
    <row r="9" spans="1:14" ht="15" x14ac:dyDescent="0.2">
      <c r="A9" s="166"/>
      <c r="B9" s="167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66"/>
    </row>
    <row r="10" spans="1:14" ht="15" x14ac:dyDescent="0.2">
      <c r="A10" s="166"/>
      <c r="B10" s="167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66"/>
    </row>
    <row r="11" spans="1:14" ht="15" x14ac:dyDescent="0.2">
      <c r="A11" s="166"/>
      <c r="B11" s="167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66"/>
    </row>
    <row r="12" spans="1:14" ht="15" x14ac:dyDescent="0.2">
      <c r="A12" s="166"/>
      <c r="B12" s="167"/>
      <c r="C12" s="170" t="s">
        <v>1633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4" ht="15" x14ac:dyDescent="0.2">
      <c r="A13" s="166"/>
      <c r="B13" s="167" t="s">
        <v>158</v>
      </c>
      <c r="C13" s="168" t="s">
        <v>971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14" ht="15" x14ac:dyDescent="0.2">
      <c r="A14" s="166"/>
      <c r="B14" s="167"/>
      <c r="C14" s="171" t="s">
        <v>1192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6"/>
    </row>
    <row r="15" spans="1:14" ht="15" x14ac:dyDescent="0.2">
      <c r="A15" s="166"/>
      <c r="B15" s="167"/>
      <c r="C15" s="172" t="s">
        <v>34</v>
      </c>
      <c r="D15" s="171" t="s">
        <v>1621</v>
      </c>
      <c r="E15" s="171"/>
      <c r="F15" s="171"/>
      <c r="G15" s="171"/>
      <c r="H15" s="171"/>
      <c r="I15" s="171"/>
      <c r="J15" s="171"/>
      <c r="K15" s="171"/>
      <c r="L15" s="171"/>
      <c r="M15" s="173"/>
      <c r="N15" s="24"/>
    </row>
    <row r="16" spans="1:14" ht="15" x14ac:dyDescent="0.2">
      <c r="A16" s="166"/>
      <c r="B16" s="167"/>
      <c r="C16" s="172" t="s">
        <v>34</v>
      </c>
      <c r="D16" s="171" t="s">
        <v>968</v>
      </c>
      <c r="E16" s="171"/>
      <c r="F16" s="171"/>
      <c r="G16" s="171"/>
      <c r="H16" s="171"/>
      <c r="I16" s="171"/>
      <c r="J16" s="171"/>
      <c r="K16" s="171"/>
      <c r="L16" s="171"/>
      <c r="M16" s="173"/>
      <c r="N16" s="24"/>
    </row>
    <row r="17" spans="1:14" ht="15" x14ac:dyDescent="0.2">
      <c r="A17" s="166"/>
      <c r="B17" s="167"/>
      <c r="C17" s="174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24"/>
    </row>
    <row r="18" spans="1:14" ht="15" x14ac:dyDescent="0.2">
      <c r="A18" s="166"/>
      <c r="B18" s="167" t="s">
        <v>158</v>
      </c>
      <c r="C18" s="168" t="s">
        <v>972</v>
      </c>
      <c r="D18" s="166"/>
      <c r="E18" s="166"/>
      <c r="F18" s="166"/>
      <c r="G18" s="173"/>
      <c r="H18" s="173"/>
      <c r="I18" s="173"/>
      <c r="J18" s="173"/>
      <c r="K18" s="173"/>
      <c r="L18" s="173"/>
      <c r="M18" s="173"/>
      <c r="N18" s="24"/>
    </row>
    <row r="19" spans="1:14" ht="15" x14ac:dyDescent="0.2">
      <c r="A19" s="166"/>
      <c r="B19" s="167"/>
      <c r="C19" s="173" t="s">
        <v>973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</row>
    <row r="20" spans="1:14" ht="15" x14ac:dyDescent="0.2">
      <c r="A20" s="166"/>
      <c r="B20" s="167"/>
      <c r="C20" s="189"/>
      <c r="D20" s="190"/>
      <c r="E20" s="166" t="s">
        <v>1178</v>
      </c>
      <c r="F20" s="166"/>
      <c r="G20" s="166"/>
      <c r="H20" s="166"/>
      <c r="I20" s="166"/>
      <c r="J20" s="166"/>
      <c r="K20" s="166"/>
      <c r="L20" s="166"/>
      <c r="M20" s="166"/>
    </row>
    <row r="21" spans="1:14" ht="15" x14ac:dyDescent="0.2">
      <c r="A21" s="166"/>
      <c r="B21" s="167"/>
      <c r="C21" s="194"/>
      <c r="D21" s="194"/>
      <c r="E21" s="166" t="s">
        <v>974</v>
      </c>
      <c r="F21" s="166"/>
      <c r="G21" s="166"/>
      <c r="H21" s="166"/>
      <c r="I21" s="166"/>
      <c r="J21" s="166"/>
      <c r="K21" s="166"/>
      <c r="L21" s="166"/>
      <c r="M21" s="166"/>
    </row>
    <row r="22" spans="1:14" ht="15" x14ac:dyDescent="0.2">
      <c r="A22" s="166"/>
      <c r="B22" s="167"/>
      <c r="C22" s="193"/>
      <c r="D22" s="193"/>
      <c r="E22" s="166" t="s">
        <v>975</v>
      </c>
      <c r="F22" s="166"/>
      <c r="G22" s="166"/>
      <c r="H22" s="166"/>
      <c r="I22" s="166"/>
      <c r="J22" s="166"/>
      <c r="K22" s="166"/>
      <c r="L22" s="166"/>
      <c r="M22" s="166"/>
    </row>
    <row r="23" spans="1:14" ht="15" x14ac:dyDescent="0.2">
      <c r="A23" s="166"/>
      <c r="B23" s="167"/>
      <c r="C23" s="195"/>
      <c r="D23" s="195"/>
      <c r="E23" s="166" t="s">
        <v>976</v>
      </c>
      <c r="F23" s="166"/>
      <c r="G23" s="166"/>
      <c r="H23" s="166"/>
      <c r="I23" s="166"/>
      <c r="J23" s="166"/>
      <c r="K23" s="166"/>
      <c r="L23" s="166"/>
      <c r="M23" s="166"/>
    </row>
    <row r="24" spans="1:14" ht="15" x14ac:dyDescent="0.2">
      <c r="A24" s="166"/>
      <c r="B24" s="167"/>
      <c r="C24" s="188" t="str">
        <f>IF(AP23&gt;0,AP23,"")</f>
        <v/>
      </c>
      <c r="D24" s="188"/>
      <c r="E24" s="166" t="s">
        <v>977</v>
      </c>
      <c r="F24" s="166"/>
      <c r="G24" s="166"/>
      <c r="H24" s="166"/>
      <c r="I24" s="166"/>
      <c r="J24" s="166"/>
      <c r="K24" s="166"/>
      <c r="L24" s="166"/>
      <c r="M24" s="166"/>
    </row>
    <row r="25" spans="1:14" x14ac:dyDescent="0.2">
      <c r="A25" s="166"/>
      <c r="B25" s="7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</row>
  </sheetData>
  <sheetProtection algorithmName="SHA-512" hashValue="HNHiQ+k1E2rwxNrnTahoiD1nK2ZJbJvlgCajmCCj6+nKCTefjxlbg8iyXvc2bnxsu08phgGFHsiro8d9Zsa1MA==" saltValue="LlnXJPtEOPoTl+3yxzwWTA==" spinCount="100000" sheet="1" objects="1" scenarios="1"/>
  <mergeCells count="7">
    <mergeCell ref="C24:D24"/>
    <mergeCell ref="C20:D20"/>
    <mergeCell ref="C3:M4"/>
    <mergeCell ref="C8:L11"/>
    <mergeCell ref="C22:D22"/>
    <mergeCell ref="C21:D21"/>
    <mergeCell ref="C23:D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Y82"/>
  <sheetViews>
    <sheetView view="pageBreakPreview" zoomScaleNormal="90" zoomScaleSheetLayoutView="100" workbookViewId="0">
      <selection activeCell="AI15" sqref="AI15"/>
    </sheetView>
  </sheetViews>
  <sheetFormatPr defaultColWidth="9.140625" defaultRowHeight="14.1" customHeight="1" x14ac:dyDescent="0.2"/>
  <cols>
    <col min="1" max="47" width="2.85546875" style="51" customWidth="1"/>
    <col min="48" max="48" width="9.140625" style="51"/>
    <col min="49" max="70" width="12.85546875" style="51" customWidth="1"/>
    <col min="71" max="16384" width="9.140625" style="51"/>
  </cols>
  <sheetData>
    <row r="1" spans="1:47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</row>
    <row r="2" spans="1:47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</row>
    <row r="3" spans="1:47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</row>
    <row r="4" spans="1:47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</row>
    <row r="5" spans="1:47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</row>
    <row r="9" spans="1:47" ht="18" customHeight="1" x14ac:dyDescent="0.2">
      <c r="A9" s="284" t="s">
        <v>1659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</row>
    <row r="10" spans="1:47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100"/>
      <c r="AC10" s="100"/>
      <c r="AD10" s="100"/>
      <c r="AE10" s="100"/>
      <c r="AF10" s="100"/>
      <c r="AG10" s="100"/>
      <c r="AH10" s="100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</row>
    <row r="11" spans="1:47" ht="18" customHeight="1" x14ac:dyDescent="0.2">
      <c r="A11" s="75"/>
      <c r="B11" s="101" t="s">
        <v>1350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50"/>
      <c r="V11" s="50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56"/>
    </row>
    <row r="12" spans="1:47" ht="8.1" customHeigh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50"/>
      <c r="V12" s="50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56"/>
    </row>
    <row r="13" spans="1:47" ht="18" customHeight="1" x14ac:dyDescent="0.2">
      <c r="A13" s="75"/>
      <c r="B13" s="104" t="s">
        <v>1351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0"/>
      <c r="V13" s="50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56"/>
    </row>
    <row r="14" spans="1:47" ht="8.1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50"/>
      <c r="V14" s="50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56"/>
    </row>
    <row r="15" spans="1:47" ht="18" customHeight="1" x14ac:dyDescent="0.2">
      <c r="A15" s="75"/>
      <c r="B15" s="75"/>
      <c r="C15" s="75"/>
      <c r="D15" s="75"/>
      <c r="E15" s="75"/>
      <c r="F15" s="75" t="s">
        <v>1370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102" t="s">
        <v>1190</v>
      </c>
      <c r="V15" s="75"/>
      <c r="W15" s="263">
        <v>70</v>
      </c>
      <c r="X15" s="263"/>
      <c r="Y15" s="263"/>
      <c r="Z15" s="263"/>
      <c r="AA15" s="263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56"/>
    </row>
    <row r="16" spans="1:47" ht="6" customHeight="1" x14ac:dyDescent="0.2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0"/>
      <c r="V16" s="50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56"/>
    </row>
    <row r="17" spans="1:47" ht="18" customHeight="1" x14ac:dyDescent="0.2">
      <c r="A17" s="75"/>
      <c r="B17" s="101" t="s">
        <v>1318</v>
      </c>
      <c r="C17" s="75"/>
      <c r="D17" s="102" t="s">
        <v>1190</v>
      </c>
      <c r="E17" s="75"/>
      <c r="F17" s="75" t="s">
        <v>1324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102" t="s">
        <v>1190</v>
      </c>
      <c r="V17" s="75"/>
      <c r="W17" s="263">
        <v>3</v>
      </c>
      <c r="X17" s="263"/>
      <c r="Y17" s="263"/>
      <c r="Z17" s="263"/>
      <c r="AA17" s="263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 ht="18" customHeight="1" x14ac:dyDescent="0.2">
      <c r="A18" s="75"/>
      <c r="B18" s="101" t="s">
        <v>1319</v>
      </c>
      <c r="C18" s="75"/>
      <c r="D18" s="102" t="s">
        <v>1190</v>
      </c>
      <c r="E18" s="75"/>
      <c r="F18" s="75" t="s">
        <v>1325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102" t="s">
        <v>1190</v>
      </c>
      <c r="V18" s="75"/>
      <c r="W18" s="263">
        <v>1</v>
      </c>
      <c r="X18" s="263"/>
      <c r="Y18" s="263"/>
      <c r="Z18" s="263"/>
      <c r="AA18" s="263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 ht="18" customHeight="1" x14ac:dyDescent="0.2">
      <c r="A19" s="75"/>
      <c r="B19" s="101" t="s">
        <v>1320</v>
      </c>
      <c r="C19" s="75"/>
      <c r="D19" s="102" t="s">
        <v>1190</v>
      </c>
      <c r="E19" s="75"/>
      <c r="F19" s="75" t="s">
        <v>1326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102" t="s">
        <v>1190</v>
      </c>
      <c r="V19" s="75"/>
      <c r="W19" s="430">
        <f>-0.00009924*W15*W15+0.0063887*W15+62.33995599</f>
        <v>62.300888989999997</v>
      </c>
      <c r="X19" s="430"/>
      <c r="Y19" s="430"/>
      <c r="Z19" s="430"/>
      <c r="AA19" s="430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 ht="18" customHeight="1" x14ac:dyDescent="0.2">
      <c r="A20" s="75"/>
      <c r="B20" s="101" t="s">
        <v>1317</v>
      </c>
      <c r="C20" s="75"/>
      <c r="D20" s="102" t="s">
        <v>1190</v>
      </c>
      <c r="E20" s="75"/>
      <c r="F20" s="75" t="s">
        <v>1323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102" t="s">
        <v>1190</v>
      </c>
      <c r="V20" s="75"/>
      <c r="W20" s="437">
        <f>(W17-W18)/W19</f>
        <v>3.2102270648513904E-2</v>
      </c>
      <c r="X20" s="437"/>
      <c r="Y20" s="437"/>
      <c r="Z20" s="437"/>
      <c r="AA20" s="437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 ht="18" customHeight="1" x14ac:dyDescent="0.2">
      <c r="A21" s="75"/>
      <c r="B21" s="101" t="s">
        <v>1321</v>
      </c>
      <c r="C21" s="75"/>
      <c r="D21" s="102" t="s">
        <v>1190</v>
      </c>
      <c r="E21" s="75"/>
      <c r="F21" s="75" t="s">
        <v>1322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102" t="s">
        <v>1190</v>
      </c>
      <c r="V21" s="75"/>
      <c r="W21" s="325">
        <f>W19/(W17-W18)</f>
        <v>31.150444494999999</v>
      </c>
      <c r="X21" s="325"/>
      <c r="Y21" s="325"/>
      <c r="Z21" s="325"/>
      <c r="AA21" s="32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 ht="18" customHeight="1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 ht="18" customHeight="1" x14ac:dyDescent="0.2">
      <c r="A23" s="75"/>
      <c r="B23" s="104" t="s">
        <v>1352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 ht="8.1" customHeigh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 ht="18" customHeight="1" x14ac:dyDescent="0.2">
      <c r="A25" s="75"/>
      <c r="B25" s="304" t="s">
        <v>1210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5">
        <v>1</v>
      </c>
      <c r="O25" s="306"/>
      <c r="P25" s="307"/>
      <c r="Q25" s="305">
        <v>2</v>
      </c>
      <c r="R25" s="306"/>
      <c r="S25" s="307"/>
      <c r="T25" s="305">
        <v>3</v>
      </c>
      <c r="U25" s="306"/>
      <c r="V25" s="307"/>
      <c r="W25" s="305">
        <v>4</v>
      </c>
      <c r="X25" s="306"/>
      <c r="Y25" s="307"/>
      <c r="Z25" s="305">
        <v>5</v>
      </c>
      <c r="AA25" s="306"/>
      <c r="AB25" s="307"/>
      <c r="AC25" s="305">
        <v>6</v>
      </c>
      <c r="AD25" s="306"/>
      <c r="AE25" s="307"/>
      <c r="AF25" s="305">
        <v>7</v>
      </c>
      <c r="AG25" s="306"/>
      <c r="AH25" s="307"/>
      <c r="AI25" s="305">
        <v>8</v>
      </c>
      <c r="AJ25" s="306"/>
      <c r="AK25" s="307"/>
      <c r="AL25" s="305">
        <v>9</v>
      </c>
      <c r="AM25" s="306"/>
      <c r="AN25" s="307"/>
      <c r="AO25" s="305">
        <v>10</v>
      </c>
      <c r="AP25" s="306"/>
      <c r="AQ25" s="307"/>
      <c r="AR25" s="305">
        <v>11</v>
      </c>
      <c r="AS25" s="306"/>
      <c r="AT25" s="307"/>
      <c r="AU25" s="75"/>
    </row>
    <row r="26" spans="1:47" ht="18" customHeight="1" x14ac:dyDescent="0.2">
      <c r="A26" s="75"/>
      <c r="B26" s="111" t="s">
        <v>1353</v>
      </c>
      <c r="C26" s="431" t="s">
        <v>1360</v>
      </c>
      <c r="D26" s="431"/>
      <c r="E26" s="431"/>
      <c r="F26" s="431"/>
      <c r="G26" s="431"/>
      <c r="H26" s="431"/>
      <c r="I26" s="431"/>
      <c r="J26" s="431"/>
      <c r="K26" s="431"/>
      <c r="L26" s="431"/>
      <c r="M26" s="432"/>
      <c r="N26" s="428">
        <v>0</v>
      </c>
      <c r="O26" s="428"/>
      <c r="P26" s="428"/>
      <c r="Q26" s="428">
        <v>0.01</v>
      </c>
      <c r="R26" s="428"/>
      <c r="S26" s="428"/>
      <c r="T26" s="428">
        <v>0.02</v>
      </c>
      <c r="U26" s="428"/>
      <c r="V26" s="428"/>
      <c r="W26" s="428">
        <v>0.03</v>
      </c>
      <c r="X26" s="428"/>
      <c r="Y26" s="428"/>
      <c r="Z26" s="428">
        <v>0.04</v>
      </c>
      <c r="AA26" s="428"/>
      <c r="AB26" s="428"/>
      <c r="AC26" s="428">
        <v>0.05</v>
      </c>
      <c r="AD26" s="428"/>
      <c r="AE26" s="428"/>
      <c r="AF26" s="428">
        <v>0.06</v>
      </c>
      <c r="AG26" s="428"/>
      <c r="AH26" s="428"/>
      <c r="AI26" s="428">
        <v>7.0000000000000007E-2</v>
      </c>
      <c r="AJ26" s="428"/>
      <c r="AK26" s="428"/>
      <c r="AL26" s="428">
        <v>0.08</v>
      </c>
      <c r="AM26" s="428"/>
      <c r="AN26" s="428"/>
      <c r="AO26" s="428">
        <v>0.09</v>
      </c>
      <c r="AP26" s="428"/>
      <c r="AQ26" s="428"/>
      <c r="AR26" s="428">
        <v>0.1</v>
      </c>
      <c r="AS26" s="428"/>
      <c r="AT26" s="428"/>
      <c r="AU26" s="75"/>
    </row>
    <row r="27" spans="1:47" ht="18" customHeight="1" x14ac:dyDescent="0.2">
      <c r="A27" s="75"/>
      <c r="B27" s="112"/>
      <c r="C27" s="435" t="s">
        <v>1361</v>
      </c>
      <c r="D27" s="435"/>
      <c r="E27" s="435"/>
      <c r="F27" s="435"/>
      <c r="G27" s="435"/>
      <c r="H27" s="435"/>
      <c r="I27" s="435"/>
      <c r="J27" s="435"/>
      <c r="K27" s="435"/>
      <c r="L27" s="435"/>
      <c r="M27" s="436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428"/>
      <c r="AD27" s="428"/>
      <c r="AE27" s="428"/>
      <c r="AF27" s="428"/>
      <c r="AG27" s="428"/>
      <c r="AH27" s="428"/>
      <c r="AI27" s="428"/>
      <c r="AJ27" s="428"/>
      <c r="AK27" s="428"/>
      <c r="AL27" s="428"/>
      <c r="AM27" s="428"/>
      <c r="AN27" s="428"/>
      <c r="AO27" s="428"/>
      <c r="AP27" s="428"/>
      <c r="AQ27" s="428"/>
      <c r="AR27" s="428"/>
      <c r="AS27" s="428"/>
      <c r="AT27" s="428"/>
      <c r="AU27" s="75"/>
    </row>
    <row r="28" spans="1:47" ht="18" customHeight="1" x14ac:dyDescent="0.2">
      <c r="A28" s="75"/>
      <c r="B28" s="111" t="s">
        <v>1355</v>
      </c>
      <c r="C28" s="431" t="s">
        <v>1354</v>
      </c>
      <c r="D28" s="431"/>
      <c r="E28" s="431"/>
      <c r="F28" s="431"/>
      <c r="G28" s="431"/>
      <c r="H28" s="431"/>
      <c r="I28" s="431"/>
      <c r="J28" s="431"/>
      <c r="K28" s="431"/>
      <c r="L28" s="431"/>
      <c r="M28" s="432"/>
      <c r="N28" s="266">
        <v>5.4945000000000004</v>
      </c>
      <c r="O28" s="266"/>
      <c r="P28" s="266"/>
      <c r="Q28" s="266">
        <v>5.3941800000000004</v>
      </c>
      <c r="R28" s="266"/>
      <c r="S28" s="266"/>
      <c r="T28" s="266">
        <v>5.276040000000001</v>
      </c>
      <c r="U28" s="266"/>
      <c r="V28" s="266"/>
      <c r="W28" s="266">
        <v>5.2069600000000005</v>
      </c>
      <c r="X28" s="266"/>
      <c r="Y28" s="266"/>
      <c r="Z28" s="266">
        <v>5.2379800000000003</v>
      </c>
      <c r="AA28" s="266"/>
      <c r="AB28" s="266"/>
      <c r="AC28" s="266">
        <v>5.24</v>
      </c>
      <c r="AD28" s="266"/>
      <c r="AE28" s="266"/>
      <c r="AF28" s="266">
        <v>5.242</v>
      </c>
      <c r="AG28" s="266"/>
      <c r="AH28" s="266"/>
      <c r="AI28" s="266">
        <v>5.25</v>
      </c>
      <c r="AJ28" s="266"/>
      <c r="AK28" s="266"/>
      <c r="AL28" s="266">
        <v>5.2797800000000006</v>
      </c>
      <c r="AM28" s="266"/>
      <c r="AN28" s="266"/>
      <c r="AO28" s="266">
        <v>5.3</v>
      </c>
      <c r="AP28" s="266"/>
      <c r="AQ28" s="266"/>
      <c r="AR28" s="266">
        <v>5.32</v>
      </c>
      <c r="AS28" s="266"/>
      <c r="AT28" s="266"/>
      <c r="AU28" s="75"/>
    </row>
    <row r="29" spans="1:47" ht="18" customHeight="1" x14ac:dyDescent="0.2">
      <c r="A29" s="75"/>
      <c r="B29" s="112"/>
      <c r="C29" s="435" t="s">
        <v>1374</v>
      </c>
      <c r="D29" s="435"/>
      <c r="E29" s="435"/>
      <c r="F29" s="435"/>
      <c r="G29" s="435"/>
      <c r="H29" s="435"/>
      <c r="I29" s="435"/>
      <c r="J29" s="435"/>
      <c r="K29" s="435"/>
      <c r="L29" s="435"/>
      <c r="M29" s="43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75"/>
    </row>
    <row r="30" spans="1:47" ht="18" customHeight="1" x14ac:dyDescent="0.2">
      <c r="A30" s="75"/>
      <c r="B30" s="111" t="s">
        <v>1356</v>
      </c>
      <c r="C30" s="431" t="s">
        <v>1368</v>
      </c>
      <c r="D30" s="431"/>
      <c r="E30" s="431"/>
      <c r="F30" s="431"/>
      <c r="G30" s="431"/>
      <c r="H30" s="431"/>
      <c r="I30" s="431"/>
      <c r="J30" s="431"/>
      <c r="K30" s="431"/>
      <c r="L30" s="431"/>
      <c r="M30" s="432"/>
      <c r="N30" s="266">
        <v>0.67</v>
      </c>
      <c r="O30" s="266"/>
      <c r="P30" s="266"/>
      <c r="Q30" s="429">
        <f>IF(Q28&lt;&gt;"",N30,"")</f>
        <v>0.67</v>
      </c>
      <c r="R30" s="429"/>
      <c r="S30" s="429"/>
      <c r="T30" s="429">
        <f>IF(T28&lt;&gt;"",N30,"")</f>
        <v>0.67</v>
      </c>
      <c r="U30" s="429"/>
      <c r="V30" s="429"/>
      <c r="W30" s="429">
        <f>IF(W28&lt;&gt;"",N30,"")</f>
        <v>0.67</v>
      </c>
      <c r="X30" s="429"/>
      <c r="Y30" s="429"/>
      <c r="Z30" s="429">
        <f>IF(Z28&lt;&gt;"",N30,"")</f>
        <v>0.67</v>
      </c>
      <c r="AA30" s="429"/>
      <c r="AB30" s="429"/>
      <c r="AC30" s="429">
        <f>IF(AC28&lt;&gt;"",Q30,"")</f>
        <v>0.67</v>
      </c>
      <c r="AD30" s="429"/>
      <c r="AE30" s="429"/>
      <c r="AF30" s="429">
        <f>IF(AF28&lt;&gt;"",T30,"")</f>
        <v>0.67</v>
      </c>
      <c r="AG30" s="429"/>
      <c r="AH30" s="429"/>
      <c r="AI30" s="429">
        <f>IF(AI28&lt;&gt;"",N30,"")</f>
        <v>0.67</v>
      </c>
      <c r="AJ30" s="429"/>
      <c r="AK30" s="429"/>
      <c r="AL30" s="429">
        <f>IF(AL28&lt;&gt;"",N30,"")</f>
        <v>0.67</v>
      </c>
      <c r="AM30" s="429"/>
      <c r="AN30" s="429"/>
      <c r="AO30" s="429">
        <f>IF(AO28&lt;&gt;"",N30,"")</f>
        <v>0.67</v>
      </c>
      <c r="AP30" s="429"/>
      <c r="AQ30" s="429"/>
      <c r="AR30" s="429">
        <f>IF(AR28&lt;&gt;"",N30,"")</f>
        <v>0.67</v>
      </c>
      <c r="AS30" s="429"/>
      <c r="AT30" s="429"/>
      <c r="AU30" s="75"/>
    </row>
    <row r="31" spans="1:47" ht="18" customHeight="1" x14ac:dyDescent="0.2">
      <c r="A31" s="75"/>
      <c r="B31" s="113"/>
      <c r="C31" s="435" t="s">
        <v>1369</v>
      </c>
      <c r="D31" s="435"/>
      <c r="E31" s="435"/>
      <c r="F31" s="435"/>
      <c r="G31" s="435"/>
      <c r="H31" s="435"/>
      <c r="I31" s="435"/>
      <c r="J31" s="435"/>
      <c r="K31" s="435"/>
      <c r="L31" s="435"/>
      <c r="M31" s="436"/>
      <c r="N31" s="266"/>
      <c r="O31" s="266"/>
      <c r="P31" s="266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  <c r="AK31" s="429"/>
      <c r="AL31" s="429"/>
      <c r="AM31" s="429"/>
      <c r="AN31" s="429"/>
      <c r="AO31" s="429"/>
      <c r="AP31" s="429"/>
      <c r="AQ31" s="429"/>
      <c r="AR31" s="429"/>
      <c r="AS31" s="429"/>
      <c r="AT31" s="429"/>
      <c r="AU31" s="75"/>
    </row>
    <row r="32" spans="1:47" ht="18" customHeight="1" x14ac:dyDescent="0.2">
      <c r="A32" s="75"/>
      <c r="B32" s="111" t="s">
        <v>1357</v>
      </c>
      <c r="C32" s="431" t="s">
        <v>1366</v>
      </c>
      <c r="D32" s="431"/>
      <c r="E32" s="431"/>
      <c r="F32" s="431"/>
      <c r="G32" s="431"/>
      <c r="H32" s="431"/>
      <c r="I32" s="431"/>
      <c r="J32" s="431"/>
      <c r="K32" s="431"/>
      <c r="L32" s="431"/>
      <c r="M32" s="432"/>
      <c r="N32" s="430">
        <f>IF(N30&lt;&gt;"",N28-N30,"")</f>
        <v>4.8245000000000005</v>
      </c>
      <c r="O32" s="430"/>
      <c r="P32" s="430"/>
      <c r="Q32" s="430">
        <f>IF(Q30&lt;&gt;"",Q28-Q30,"")</f>
        <v>4.7241800000000005</v>
      </c>
      <c r="R32" s="430"/>
      <c r="S32" s="430"/>
      <c r="T32" s="430">
        <f>IF(T30&lt;&gt;"",T28-T30,"")</f>
        <v>4.606040000000001</v>
      </c>
      <c r="U32" s="430"/>
      <c r="V32" s="430"/>
      <c r="W32" s="430">
        <f>IF(W30&lt;&gt;"",W28-W30,"")</f>
        <v>4.5369600000000005</v>
      </c>
      <c r="X32" s="430"/>
      <c r="Y32" s="430"/>
      <c r="Z32" s="430">
        <f>IF(Z30&lt;&gt;"",Z28-Z30,"")</f>
        <v>4.5679800000000004</v>
      </c>
      <c r="AA32" s="430"/>
      <c r="AB32" s="430"/>
      <c r="AC32" s="430">
        <f>IF(AC30&lt;&gt;"",AC28-AC30,"")</f>
        <v>4.57</v>
      </c>
      <c r="AD32" s="430"/>
      <c r="AE32" s="430"/>
      <c r="AF32" s="430">
        <f>IF(AF30&lt;&gt;"",AF28-AF30,"")</f>
        <v>4.5720000000000001</v>
      </c>
      <c r="AG32" s="430"/>
      <c r="AH32" s="430"/>
      <c r="AI32" s="430">
        <f>IF(AI30&lt;&gt;"",AI28-AI30,"")</f>
        <v>4.58</v>
      </c>
      <c r="AJ32" s="430"/>
      <c r="AK32" s="430"/>
      <c r="AL32" s="430">
        <f>IF(AL30&lt;&gt;"",AL28-AL30,"")</f>
        <v>4.6097800000000007</v>
      </c>
      <c r="AM32" s="430"/>
      <c r="AN32" s="430"/>
      <c r="AO32" s="430">
        <f>IF(AO30&lt;&gt;"",AO28-AO30,"")</f>
        <v>4.63</v>
      </c>
      <c r="AP32" s="430"/>
      <c r="AQ32" s="430"/>
      <c r="AR32" s="430">
        <f>IF(AR30&lt;&gt;"",AR28-AR30,"")</f>
        <v>4.6500000000000004</v>
      </c>
      <c r="AS32" s="430"/>
      <c r="AT32" s="430"/>
      <c r="AU32" s="75"/>
    </row>
    <row r="33" spans="1:51" ht="18" customHeight="1" x14ac:dyDescent="0.2">
      <c r="A33" s="75"/>
      <c r="B33" s="113"/>
      <c r="C33" s="435" t="s">
        <v>1367</v>
      </c>
      <c r="D33" s="435"/>
      <c r="E33" s="435"/>
      <c r="F33" s="435"/>
      <c r="G33" s="435"/>
      <c r="H33" s="435"/>
      <c r="I33" s="435"/>
      <c r="J33" s="435"/>
      <c r="K33" s="435"/>
      <c r="L33" s="435"/>
      <c r="M33" s="436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75"/>
    </row>
    <row r="34" spans="1:51" ht="18" customHeight="1" x14ac:dyDescent="0.2">
      <c r="A34" s="75"/>
      <c r="B34" s="111" t="s">
        <v>1362</v>
      </c>
      <c r="C34" s="431" t="s">
        <v>1358</v>
      </c>
      <c r="D34" s="431"/>
      <c r="E34" s="431"/>
      <c r="F34" s="431"/>
      <c r="G34" s="431"/>
      <c r="H34" s="431"/>
      <c r="I34" s="431"/>
      <c r="J34" s="431"/>
      <c r="K34" s="431"/>
      <c r="L34" s="431"/>
      <c r="M34" s="432"/>
      <c r="N34" s="325">
        <f>IF(N30&lt;&gt;"",N32/$W$20,"")</f>
        <v>150.2853194661275</v>
      </c>
      <c r="O34" s="325"/>
      <c r="P34" s="325"/>
      <c r="Q34" s="325">
        <f>IF(Q30&lt;&gt;"",Q32/$W$20,"")</f>
        <v>147.16030687438911</v>
      </c>
      <c r="R34" s="325"/>
      <c r="S34" s="325"/>
      <c r="T34" s="325">
        <f>IF(T30&lt;&gt;"",T32/$W$20,"")</f>
        <v>143.48019336174983</v>
      </c>
      <c r="U34" s="325"/>
      <c r="V34" s="325"/>
      <c r="W34" s="325">
        <f>IF(W30&lt;&gt;"",W32/$W$20,"")</f>
        <v>141.3283206560352</v>
      </c>
      <c r="X34" s="325"/>
      <c r="Y34" s="325"/>
      <c r="Z34" s="325">
        <f>IF(Z30&lt;&gt;"",Z32/$W$20,"")</f>
        <v>142.2946074442701</v>
      </c>
      <c r="AA34" s="325"/>
      <c r="AB34" s="325"/>
      <c r="AC34" s="325">
        <f>IF(AC30&lt;&gt;"",AC32/$W$20,"")</f>
        <v>142.35753134215</v>
      </c>
      <c r="AD34" s="325"/>
      <c r="AE34" s="325"/>
      <c r="AF34" s="325">
        <f>IF(AF30&lt;&gt;"",AF32/$W$20,"")</f>
        <v>142.41983223113999</v>
      </c>
      <c r="AG34" s="325"/>
      <c r="AH34" s="325"/>
      <c r="AI34" s="325">
        <f>IF(AI30&lt;&gt;"",AI32/$W$20,"")</f>
        <v>142.6690357871</v>
      </c>
      <c r="AJ34" s="325"/>
      <c r="AK34" s="325"/>
      <c r="AL34" s="325">
        <f>IF(AL30&lt;&gt;"",AL32/$W$20,"")</f>
        <v>143.5966960241611</v>
      </c>
      <c r="AM34" s="325"/>
      <c r="AN34" s="325"/>
      <c r="AO34" s="325">
        <f>IF(AO30&lt;&gt;"",AO32/$W$20,"")</f>
        <v>144.22655801184999</v>
      </c>
      <c r="AP34" s="325"/>
      <c r="AQ34" s="325"/>
      <c r="AR34" s="325">
        <f>IF(AR30&lt;&gt;"",AR32/$W$20,"")</f>
        <v>144.84956690174999</v>
      </c>
      <c r="AS34" s="325"/>
      <c r="AT34" s="325"/>
      <c r="AU34" s="75"/>
    </row>
    <row r="35" spans="1:51" ht="18" customHeight="1" x14ac:dyDescent="0.2">
      <c r="A35" s="75"/>
      <c r="B35" s="112"/>
      <c r="C35" s="435" t="s">
        <v>1359</v>
      </c>
      <c r="D35" s="435"/>
      <c r="E35" s="435"/>
      <c r="F35" s="435"/>
      <c r="G35" s="435"/>
      <c r="H35" s="435"/>
      <c r="I35" s="435"/>
      <c r="J35" s="435"/>
      <c r="K35" s="435"/>
      <c r="L35" s="435"/>
      <c r="M35" s="436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  <c r="AU35" s="75"/>
    </row>
    <row r="36" spans="1:51" ht="18" customHeight="1" x14ac:dyDescent="0.2">
      <c r="A36" s="75"/>
      <c r="B36" s="111" t="s">
        <v>1363</v>
      </c>
      <c r="C36" s="431" t="s">
        <v>1364</v>
      </c>
      <c r="D36" s="431"/>
      <c r="E36" s="431"/>
      <c r="F36" s="431"/>
      <c r="G36" s="431"/>
      <c r="H36" s="431"/>
      <c r="I36" s="431"/>
      <c r="J36" s="431"/>
      <c r="K36" s="431"/>
      <c r="L36" s="431"/>
      <c r="M36" s="432"/>
      <c r="N36" s="325">
        <f>IF(N28&lt;&gt;"",N34/(1+N26),"")</f>
        <v>150.2853194661275</v>
      </c>
      <c r="O36" s="325"/>
      <c r="P36" s="325"/>
      <c r="Q36" s="325">
        <f>IF(Q28&lt;&gt;"",Q34/(1+Q26),"")</f>
        <v>145.70327413305853</v>
      </c>
      <c r="R36" s="325"/>
      <c r="S36" s="325"/>
      <c r="T36" s="325">
        <f>IF(T28&lt;&gt;"",T34/(1+T26),"")</f>
        <v>140.66685623700963</v>
      </c>
      <c r="U36" s="325"/>
      <c r="V36" s="325"/>
      <c r="W36" s="325">
        <f>IF(W28&lt;&gt;"",W34/(1+W26),"")</f>
        <v>137.21196180197592</v>
      </c>
      <c r="X36" s="325"/>
      <c r="Y36" s="325"/>
      <c r="Z36" s="325">
        <f>IF(Z28&lt;&gt;"",Z34/(1+Z26),"")</f>
        <v>136.8217379271828</v>
      </c>
      <c r="AA36" s="325"/>
      <c r="AB36" s="325"/>
      <c r="AC36" s="325">
        <f>IF(AC28&lt;&gt;"",AC34/(1+AC26),"")</f>
        <v>135.5786012782381</v>
      </c>
      <c r="AD36" s="325"/>
      <c r="AE36" s="325"/>
      <c r="AF36" s="325">
        <f>IF(AF28&lt;&gt;"",AF34/(1+AF26),"")</f>
        <v>134.35833229352829</v>
      </c>
      <c r="AG36" s="325"/>
      <c r="AH36" s="325"/>
      <c r="AI36" s="325">
        <f>IF(AI28&lt;&gt;"",AI34/(1+AI26),"")</f>
        <v>133.33554746457943</v>
      </c>
      <c r="AJ36" s="325"/>
      <c r="AK36" s="325"/>
      <c r="AL36" s="325">
        <f>IF(AL28&lt;&gt;"",AL34/(1+AL26),"")</f>
        <v>132.95990372607508</v>
      </c>
      <c r="AM36" s="325"/>
      <c r="AN36" s="325"/>
      <c r="AO36" s="325">
        <f>IF(AO28&lt;&gt;"",AO34/(1+AO26),"")</f>
        <v>132.31794313013759</v>
      </c>
      <c r="AP36" s="325"/>
      <c r="AQ36" s="325"/>
      <c r="AR36" s="325">
        <f>IF(AR28&lt;&gt;"",AR34/(1+AR26),"")</f>
        <v>131.68142445613634</v>
      </c>
      <c r="AS36" s="325"/>
      <c r="AT36" s="325"/>
      <c r="AU36" s="75"/>
    </row>
    <row r="37" spans="1:51" ht="18" customHeight="1" x14ac:dyDescent="0.2">
      <c r="A37" s="75"/>
      <c r="B37" s="114"/>
      <c r="C37" s="433" t="s">
        <v>1371</v>
      </c>
      <c r="D37" s="433"/>
      <c r="E37" s="433"/>
      <c r="F37" s="433"/>
      <c r="G37" s="433"/>
      <c r="H37" s="433"/>
      <c r="I37" s="433"/>
      <c r="J37" s="433"/>
      <c r="K37" s="433"/>
      <c r="L37" s="433"/>
      <c r="M37" s="434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  <c r="AU37" s="75"/>
    </row>
    <row r="38" spans="1:51" ht="18" customHeight="1" x14ac:dyDescent="0.2">
      <c r="A38" s="75"/>
      <c r="B38" s="112"/>
      <c r="C38" s="435" t="s">
        <v>1365</v>
      </c>
      <c r="D38" s="435"/>
      <c r="E38" s="435"/>
      <c r="F38" s="435"/>
      <c r="G38" s="435"/>
      <c r="H38" s="435"/>
      <c r="I38" s="435"/>
      <c r="J38" s="435"/>
      <c r="K38" s="435"/>
      <c r="L38" s="435"/>
      <c r="M38" s="436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  <c r="AU38" s="75"/>
    </row>
    <row r="39" spans="1:51" ht="18" customHeigh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</row>
    <row r="40" spans="1:51" ht="18" customHeigh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</row>
    <row r="41" spans="1:51" ht="18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</row>
    <row r="42" spans="1:51" ht="18" customHeigh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</row>
    <row r="43" spans="1:51" ht="18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</row>
    <row r="44" spans="1:51" ht="18" customHeight="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W44" s="109" t="s">
        <v>1279</v>
      </c>
      <c r="AX44" s="110" t="s">
        <v>1332</v>
      </c>
      <c r="AY44" s="109" t="s">
        <v>1372</v>
      </c>
    </row>
    <row r="45" spans="1:51" ht="18" customHeight="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W45" s="107">
        <f>IF(N28&lt;&gt;"",N26,#N/A)</f>
        <v>0</v>
      </c>
      <c r="AX45" s="108">
        <f>IF(N28&lt;&gt;"",N34,#N/A)</f>
        <v>150.2853194661275</v>
      </c>
      <c r="AY45" s="108">
        <f>IF(N28&lt;&gt;"",N36,#N/A)</f>
        <v>150.2853194661275</v>
      </c>
    </row>
    <row r="46" spans="1:51" ht="18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W46" s="107">
        <f>IF(Q28&lt;&gt;"",Q26,#N/A)</f>
        <v>0.01</v>
      </c>
      <c r="AX46" s="108">
        <f>IF(Q28&lt;&gt;"",Q34,#N/A)</f>
        <v>147.16030687438911</v>
      </c>
      <c r="AY46" s="108">
        <f>IF(Q28&lt;&gt;"",Q36,#N/A)</f>
        <v>145.70327413305853</v>
      </c>
    </row>
    <row r="47" spans="1:51" ht="18" customHeight="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W47" s="107">
        <f>IF(T28&lt;&gt;"",T26,#N/A)</f>
        <v>0.02</v>
      </c>
      <c r="AX47" s="108">
        <f>IF(T28&lt;&gt;"",T34,#N/A)</f>
        <v>143.48019336174983</v>
      </c>
      <c r="AY47" s="108">
        <f>IF(T28&lt;&gt;"",T36,#N/A)</f>
        <v>140.66685623700963</v>
      </c>
    </row>
    <row r="48" spans="1:51" ht="18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W48" s="107">
        <f>IF(W28&lt;&gt;"",W26,#N/A)</f>
        <v>0.03</v>
      </c>
      <c r="AX48" s="108">
        <f>IF(W28&lt;&gt;"",W34,#N/A)</f>
        <v>141.3283206560352</v>
      </c>
      <c r="AY48" s="108">
        <f>IF(W28&lt;&gt;"",W36,#N/A)</f>
        <v>137.21196180197592</v>
      </c>
    </row>
    <row r="49" spans="1:51" ht="18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W49" s="107">
        <f>IF(Z28&lt;&gt;"",Z26,#N/A)</f>
        <v>0.04</v>
      </c>
      <c r="AX49" s="108">
        <f>IF(Z28&lt;&gt;"",Z34,#N/A)</f>
        <v>142.2946074442701</v>
      </c>
      <c r="AY49" s="108">
        <f>IF(Z28&lt;&gt;"",Z36,#N/A)</f>
        <v>136.8217379271828</v>
      </c>
    </row>
    <row r="50" spans="1:51" ht="18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W50" s="107">
        <f>IF(AC28&lt;&gt;"",AC26,#N/A)</f>
        <v>0.05</v>
      </c>
      <c r="AX50" s="108">
        <f>IF(AC28&lt;&gt;"",AC34,#N/A)</f>
        <v>142.35753134215</v>
      </c>
      <c r="AY50" s="108">
        <f>IF(AC28&lt;&gt;"",AC36,#N/A)</f>
        <v>135.5786012782381</v>
      </c>
    </row>
    <row r="51" spans="1:51" ht="18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W51" s="107">
        <f>IF(AF28&lt;&gt;"",AF26,#N/A)</f>
        <v>0.06</v>
      </c>
      <c r="AX51" s="108">
        <f>IF(AF28&lt;&gt;"",AF34,#N/A)</f>
        <v>142.41983223113999</v>
      </c>
      <c r="AY51" s="108">
        <f>IF(AF28&lt;&gt;"",AF36,#N/A)</f>
        <v>134.35833229352829</v>
      </c>
    </row>
    <row r="52" spans="1:51" ht="18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W52" s="107">
        <f>IF(AI28&lt;&gt;"",AI26,#N/A)</f>
        <v>7.0000000000000007E-2</v>
      </c>
      <c r="AX52" s="108">
        <f>IF(AI28&lt;&gt;"",AI34,#N/A)</f>
        <v>142.6690357871</v>
      </c>
      <c r="AY52" s="108">
        <f>IF(AI28&lt;&gt;"",AI36,#N/A)</f>
        <v>133.33554746457943</v>
      </c>
    </row>
    <row r="53" spans="1:51" ht="18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W53" s="107">
        <f>IF(AL28&lt;&gt;"",AL26,#N/A)</f>
        <v>0.08</v>
      </c>
      <c r="AX53" s="108">
        <f>IF(AL28&lt;&gt;"",AL34,#N/A)</f>
        <v>143.5966960241611</v>
      </c>
      <c r="AY53" s="108">
        <f>IF(AL28&lt;&gt;"",AL36,#N/A)</f>
        <v>132.95990372607508</v>
      </c>
    </row>
    <row r="54" spans="1:51" ht="18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W54" s="107">
        <f>IF(AO28&lt;&gt;"",AO26,#N/A)</f>
        <v>0.09</v>
      </c>
      <c r="AX54" s="108">
        <f>IF(AO28&lt;&gt;"",AO34,#N/A)</f>
        <v>144.22655801184999</v>
      </c>
      <c r="AY54" s="108">
        <f>IF(AO28&lt;&gt;"",AO36,#N/A)</f>
        <v>132.31794313013759</v>
      </c>
    </row>
    <row r="55" spans="1:51" ht="18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W55" s="107">
        <f>IF(AR28&lt;&gt;"",AR26,#N/A)</f>
        <v>0.1</v>
      </c>
      <c r="AX55" s="108">
        <f>IF(AR28&lt;&gt;"",AR34,#N/A)</f>
        <v>144.84956690174999</v>
      </c>
      <c r="AY55" s="108">
        <f>IF(AR28&lt;&gt;"",AR36,#N/A)</f>
        <v>131.68142445613634</v>
      </c>
    </row>
    <row r="56" spans="1:51" ht="18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</row>
    <row r="57" spans="1:51" ht="18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51" ht="18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</row>
    <row r="59" spans="1:51" ht="18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</row>
    <row r="60" spans="1:51" ht="18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</row>
    <row r="61" spans="1:51" ht="18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</row>
    <row r="62" spans="1:51" ht="18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6" t="e">
        <f>'TRANS. COV.'!AO68</f>
        <v>#REF!</v>
      </c>
    </row>
    <row r="64" spans="1:51" ht="14.1" customHeight="1" x14ac:dyDescent="0.2">
      <c r="A64" s="70" t="s">
        <v>1551</v>
      </c>
      <c r="B64" s="120"/>
    </row>
    <row r="65" spans="1:47" ht="14.1" customHeight="1" x14ac:dyDescent="0.2">
      <c r="A65" s="121"/>
      <c r="B65" s="122"/>
      <c r="C65" s="123"/>
      <c r="D65" s="134"/>
      <c r="E65" s="134"/>
      <c r="F65" s="134"/>
      <c r="G65" s="134"/>
      <c r="H65" s="134"/>
      <c r="I65" s="134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4"/>
    </row>
    <row r="66" spans="1:47" ht="14.1" customHeight="1" x14ac:dyDescent="0.2">
      <c r="A66" s="125"/>
      <c r="B66" s="126" t="str">
        <f>IF(COUNTIF(B71:B81,"*"&amp;"Error"&amp;"*")&gt;0,"Error(s) found! Please see below for details.","None")</f>
        <v>None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127"/>
    </row>
    <row r="67" spans="1:47" ht="14.1" customHeight="1" x14ac:dyDescent="0.2">
      <c r="A67" s="128"/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1"/>
    </row>
    <row r="68" spans="1:47" ht="14.1" customHeight="1" x14ac:dyDescent="0.2">
      <c r="B68" s="120"/>
    </row>
    <row r="69" spans="1:47" ht="14.1" customHeight="1" x14ac:dyDescent="0.2">
      <c r="A69" s="70" t="s">
        <v>1552</v>
      </c>
      <c r="B69" s="120"/>
    </row>
    <row r="70" spans="1:47" ht="14.1" customHeight="1" x14ac:dyDescent="0.2">
      <c r="A70" s="121"/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4"/>
    </row>
    <row r="71" spans="1:47" ht="14.1" customHeight="1" x14ac:dyDescent="0.2">
      <c r="A71" s="132" t="s">
        <v>158</v>
      </c>
      <c r="B71" s="72" t="str">
        <f>IF(COUNTIF(W15,"")&gt;0,"Error! Missing information for water temperature (°F).",IF(COUNTIF(W15,"*")&gt;0,"Error! Incorrect format for water temperature (°F).",""))</f>
        <v/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127"/>
    </row>
    <row r="72" spans="1:47" ht="14.1" customHeight="1" x14ac:dyDescent="0.2">
      <c r="A72" s="132" t="s">
        <v>158</v>
      </c>
      <c r="B72" s="72" t="str">
        <f>IF(COUNTIF(W17,"")&gt;0,"Error! Missing information for Weight of water, plate glass, and measure, B (lb).",IF(COUNTIF(W17,"*")&gt;0,"Error! Incorrect format for Weight of water, plate glass, and measure, B (lb).",""))</f>
        <v/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127"/>
    </row>
    <row r="73" spans="1:47" ht="14.1" customHeight="1" x14ac:dyDescent="0.2">
      <c r="A73" s="132" t="s">
        <v>158</v>
      </c>
      <c r="B73" s="72" t="str">
        <f>IF(COUNTIF(W18,"")&gt;0,"Error! Missing information for Weight of plate glass and measure, C (lb).",IF(COUNTIF(W18,"*")&gt;0,"Error! Incorrect format for Weight of plate glass and measure, C (lb).",""))</f>
        <v/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127"/>
    </row>
    <row r="74" spans="1:47" ht="14.1" customHeight="1" x14ac:dyDescent="0.2">
      <c r="A74" s="132" t="s">
        <v>158</v>
      </c>
      <c r="B74" s="72" t="str">
        <f>IF(COUNTIF(N28,"")&gt;0,"Error! Missing information for Weight of aggregate and measure, G (lb) at 0.0% moisture.",IF(COUNTIF(N28,"*")&gt;0,"Error! Incorrect format for Weight of aggregate and measure, G (lb) at 0.0% moisture.",""))</f>
        <v/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127"/>
    </row>
    <row r="75" spans="1:47" ht="14.1" customHeight="1" x14ac:dyDescent="0.2">
      <c r="A75" s="132" t="s">
        <v>158</v>
      </c>
      <c r="B75" s="72" t="str">
        <f>IF(COUNTIF(Q28,"")&gt;0,"Error! Missing information for Weight of aggregate and measure, G (lb) at 1.0% moisture.",IF(COUNTIF(Q28,"*")&gt;0,"Error! Incorrect format for Weight of aggregate and measure, G (lb) at 1.0% moisture.",""))</f>
        <v/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127"/>
    </row>
    <row r="76" spans="1:47" ht="14.1" customHeight="1" x14ac:dyDescent="0.2">
      <c r="A76" s="132" t="s">
        <v>158</v>
      </c>
      <c r="B76" s="72" t="str">
        <f>IF(COUNTIF(T28,"")&gt;0,"Error! Missing information for Weight of aggregate and measure, G (lb) at 2.0% moisture.",IF(COUNTIF(T28,"*")&gt;0,"Error! Incorrect format for Weight of aggregate and measure, G (lb) at 2.0% moisture.",""))</f>
        <v/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127"/>
    </row>
    <row r="77" spans="1:47" ht="14.1" customHeight="1" x14ac:dyDescent="0.2">
      <c r="A77" s="132" t="s">
        <v>158</v>
      </c>
      <c r="B77" s="72" t="str">
        <f>IF(COUNTIF(W28,"")&gt;0,"Error! Missing information for Weight of aggregate and measure, G (lb) at 3.0% moisture.",IF(COUNTIF(W28,"*")&gt;0,"Error! Incorrect format for Weight of aggregate and measure, G (lb) at 3.0% moisture.",""))</f>
        <v/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127"/>
    </row>
    <row r="78" spans="1:47" ht="14.1" customHeight="1" x14ac:dyDescent="0.2">
      <c r="A78" s="132" t="s">
        <v>158</v>
      </c>
      <c r="B78" s="72" t="str">
        <f>IF(COUNTIF(Z28,"")&gt;0,"Error! Missing information for Weight of aggregate and measure, G (lb) at 4.0% moisture.",IF(COUNTIF(Z28,"*")&gt;0,"Error! Incorrect format for Weight of aggregate and measure, G (lb) at 4.0% moisture.",""))</f>
        <v/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127"/>
    </row>
    <row r="79" spans="1:47" ht="14.1" customHeight="1" x14ac:dyDescent="0.2">
      <c r="A79" s="132" t="s">
        <v>158</v>
      </c>
      <c r="B79" s="72" t="str">
        <f>IF(COUNTIF(AI28,"")&gt;0,"Error! Missing information for Weight of aggregate and measure, G (lb) at 5.0% moisture.",IF(COUNTIF(AI28,"*")&gt;0,"Error! Incorrect format for Weight of aggregate and measure, G (lb) at 5.0% moisture.",""))</f>
        <v/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127"/>
    </row>
    <row r="80" spans="1:47" ht="14.1" customHeight="1" x14ac:dyDescent="0.2">
      <c r="A80" s="132" t="s">
        <v>158</v>
      </c>
      <c r="B80" s="72" t="str">
        <f>IF(COUNTIF(AL28,"")&gt;0,"Error! Missing information for Weight of aggregate and measure, G (lb) at 6.0% moisture.",IF(COUNTIF(AL28,"*")&gt;0,"Error! Incorrect format for Weight of aggregate and measure, G (lb) at 6.0% moisture.",""))</f>
        <v/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127"/>
    </row>
    <row r="81" spans="1:47" ht="14.1" customHeight="1" x14ac:dyDescent="0.2">
      <c r="A81" s="132" t="s">
        <v>158</v>
      </c>
      <c r="B81" s="72" t="str">
        <f>IF(COUNTIF(N28,"")&gt;0,"Error! Missing information for Weight of measure, T (lb) at 0.0% moisture.",IF(COUNTIF(N28,"*")&gt;0,"Error! Incorrect format for Weight of measure, T (lb) at 0.0% moisture.",""))</f>
        <v/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127"/>
    </row>
    <row r="82" spans="1:47" ht="14.1" customHeight="1" x14ac:dyDescent="0.2">
      <c r="A82" s="128"/>
      <c r="B82" s="129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1"/>
    </row>
  </sheetData>
  <sheetProtection algorithmName="SHA-512" hashValue="rC/vHgMfjZPRsStmZZt72VTZt+fBNPJhP2dsThjrmOr/DYWMwkO7+tPkwuHcoBzmjaYtfcMivA6fK6+bqd16rg==" saltValue="q/hB7aeVM6wN7WGKihQWRQ==" spinCount="100000" sheet="1" objects="1" scenarios="1"/>
  <dataConsolidate/>
  <mergeCells count="99">
    <mergeCell ref="AO34:AQ35"/>
    <mergeCell ref="AO36:AQ38"/>
    <mergeCell ref="AR25:AT25"/>
    <mergeCell ref="AR26:AT27"/>
    <mergeCell ref="AR28:AT29"/>
    <mergeCell ref="AR30:AT31"/>
    <mergeCell ref="AR32:AT33"/>
    <mergeCell ref="AR34:AT35"/>
    <mergeCell ref="AR36:AT38"/>
    <mergeCell ref="AO25:AQ25"/>
    <mergeCell ref="AO26:AQ27"/>
    <mergeCell ref="AO28:AQ29"/>
    <mergeCell ref="AO30:AQ31"/>
    <mergeCell ref="AO32:AQ33"/>
    <mergeCell ref="AI34:AK35"/>
    <mergeCell ref="AI36:AK38"/>
    <mergeCell ref="AL25:AN25"/>
    <mergeCell ref="AL26:AN27"/>
    <mergeCell ref="AL28:AN29"/>
    <mergeCell ref="AL30:AN31"/>
    <mergeCell ref="AL32:AN33"/>
    <mergeCell ref="AL34:AN35"/>
    <mergeCell ref="AL36:AN38"/>
    <mergeCell ref="AI25:AK25"/>
    <mergeCell ref="AI26:AK27"/>
    <mergeCell ref="AI28:AK29"/>
    <mergeCell ref="AI30:AK31"/>
    <mergeCell ref="AI32:AK33"/>
    <mergeCell ref="W36:Y38"/>
    <mergeCell ref="Z25:AB25"/>
    <mergeCell ref="Z26:AB27"/>
    <mergeCell ref="Z28:AB29"/>
    <mergeCell ref="Z30:AB31"/>
    <mergeCell ref="Z32:AB33"/>
    <mergeCell ref="Z34:AB35"/>
    <mergeCell ref="Z36:AB38"/>
    <mergeCell ref="W32:Y33"/>
    <mergeCell ref="W25:Y25"/>
    <mergeCell ref="W26:Y27"/>
    <mergeCell ref="W28:Y29"/>
    <mergeCell ref="W30:Y31"/>
    <mergeCell ref="W34:Y35"/>
    <mergeCell ref="Q36:S38"/>
    <mergeCell ref="T25:V25"/>
    <mergeCell ref="T26:V27"/>
    <mergeCell ref="T28:V29"/>
    <mergeCell ref="T30:V31"/>
    <mergeCell ref="T32:V33"/>
    <mergeCell ref="T34:V35"/>
    <mergeCell ref="T36:V38"/>
    <mergeCell ref="Q32:S33"/>
    <mergeCell ref="Q25:S25"/>
    <mergeCell ref="Q26:S27"/>
    <mergeCell ref="Q28:S29"/>
    <mergeCell ref="Q30:S31"/>
    <mergeCell ref="Q34:S35"/>
    <mergeCell ref="A8:AU8"/>
    <mergeCell ref="A9:AU9"/>
    <mergeCell ref="W17:AA17"/>
    <mergeCell ref="W20:AA20"/>
    <mergeCell ref="W21:AA21"/>
    <mergeCell ref="W19:AA19"/>
    <mergeCell ref="W15:AA15"/>
    <mergeCell ref="W18:AA18"/>
    <mergeCell ref="N25:P25"/>
    <mergeCell ref="B25:M25"/>
    <mergeCell ref="C26:M26"/>
    <mergeCell ref="C27:M27"/>
    <mergeCell ref="C35:M35"/>
    <mergeCell ref="C36:M36"/>
    <mergeCell ref="C37:M37"/>
    <mergeCell ref="C38:M38"/>
    <mergeCell ref="N26:P27"/>
    <mergeCell ref="C30:M30"/>
    <mergeCell ref="C31:M31"/>
    <mergeCell ref="C32:M32"/>
    <mergeCell ref="C33:M33"/>
    <mergeCell ref="C28:M28"/>
    <mergeCell ref="C29:M29"/>
    <mergeCell ref="C34:M34"/>
    <mergeCell ref="N32:P33"/>
    <mergeCell ref="N34:P35"/>
    <mergeCell ref="N36:P38"/>
    <mergeCell ref="N28:P29"/>
    <mergeCell ref="N30:P31"/>
    <mergeCell ref="AC36:AE38"/>
    <mergeCell ref="AC25:AE25"/>
    <mergeCell ref="AF26:AH27"/>
    <mergeCell ref="AF28:AH29"/>
    <mergeCell ref="AF30:AH31"/>
    <mergeCell ref="AF32:AH33"/>
    <mergeCell ref="AF34:AH35"/>
    <mergeCell ref="AF36:AH38"/>
    <mergeCell ref="AF25:AH25"/>
    <mergeCell ref="AC26:AE27"/>
    <mergeCell ref="AC28:AE29"/>
    <mergeCell ref="AC30:AE31"/>
    <mergeCell ref="AC32:AE33"/>
    <mergeCell ref="AC34:AE35"/>
  </mergeCells>
  <dataValidations count="1">
    <dataValidation type="decimal" allowBlank="1" showInputMessage="1" showErrorMessage="1" sqref="W15:AA15 W17:AA18 N28:AT29 N30:P31">
      <formula1>0</formula1>
      <formula2>100</formula2>
    </dataValidation>
  </dataValidations>
  <printOptions horizontalCentered="1"/>
  <pageMargins left="0.5" right="0.5" top="0.5" bottom="0.5" header="0.5" footer="0.5"/>
  <pageSetup scale="69" fitToWidth="0" orientation="portrait" horizontalDpi="300" verticalDpi="300" r:id="rId1"/>
  <headerFooter alignWithMargins="0"/>
  <ignoredErrors>
    <ignoredError sqref="AI27:AZ27 AI56:AZ74 AI52:AV55 B52:AB74 B26:AB27 AJ26:AK26 AM26:AN26 AP26:AQ26 AS26:AZ26 AI30:AZ49 AI51:AV51 AI50:AV50 AZ50 AZ51 AU28:AZ28 B32:AB51 B28:M29 AU29:AZ29 B30:M31 Q30:AB31" numberStoredAsText="1"/>
    <ignoredError sqref="AZ55 AZ52 AZ53 AZ54" evalError="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AB40"/>
  <sheetViews>
    <sheetView view="pageBreakPreview" zoomScale="90" zoomScaleNormal="90" zoomScaleSheetLayoutView="90" workbookViewId="0">
      <selection activeCell="I15" sqref="I15"/>
    </sheetView>
  </sheetViews>
  <sheetFormatPr defaultColWidth="9.140625" defaultRowHeight="14.1" customHeight="1" x14ac:dyDescent="0.2"/>
  <cols>
    <col min="1" max="1" width="9.140625" style="51"/>
    <col min="2" max="5" width="12.85546875" style="51" customWidth="1"/>
    <col min="6" max="9" width="16.85546875" style="51" customWidth="1"/>
    <col min="10" max="28" width="12.85546875" style="51" customWidth="1"/>
    <col min="29" max="16384" width="9.140625" style="51"/>
  </cols>
  <sheetData>
    <row r="2" spans="2:28" ht="18" customHeight="1" x14ac:dyDescent="0.2">
      <c r="B2" s="26" t="s">
        <v>11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8" t="s">
        <v>1296</v>
      </c>
      <c r="S2" s="22"/>
      <c r="T2" s="22"/>
      <c r="U2" s="22"/>
      <c r="V2" s="22"/>
      <c r="W2" s="22"/>
      <c r="X2" s="22"/>
      <c r="Y2" s="22"/>
      <c r="Z2" s="22"/>
      <c r="AA2" s="49" t="s">
        <v>1179</v>
      </c>
      <c r="AB2" s="49"/>
    </row>
    <row r="3" spans="2:28" ht="18" customHeight="1" x14ac:dyDescent="0.2">
      <c r="B3" s="26"/>
      <c r="C3" s="26"/>
      <c r="D3" s="26"/>
      <c r="E3" s="26"/>
      <c r="G3" s="26"/>
      <c r="H3" s="26"/>
      <c r="I3" s="26"/>
      <c r="J3" s="26"/>
      <c r="K3" s="26"/>
      <c r="L3" s="30" t="s">
        <v>12</v>
      </c>
      <c r="M3" s="30"/>
      <c r="N3" s="26"/>
      <c r="O3" s="26"/>
      <c r="P3" s="26"/>
      <c r="Q3" s="26"/>
      <c r="R3" s="28"/>
      <c r="S3" s="22"/>
      <c r="T3" s="22"/>
      <c r="U3" s="22"/>
      <c r="V3" s="22"/>
      <c r="W3" s="22"/>
      <c r="X3" s="22"/>
      <c r="Y3" s="22"/>
      <c r="Z3" s="22"/>
      <c r="AA3" s="49"/>
      <c r="AB3" s="49"/>
    </row>
    <row r="4" spans="2:28" ht="18" customHeight="1" x14ac:dyDescent="0.2">
      <c r="B4" s="31" t="s">
        <v>14</v>
      </c>
      <c r="C4" s="31" t="s">
        <v>13</v>
      </c>
      <c r="D4" s="31" t="s">
        <v>15</v>
      </c>
      <c r="E4" s="31" t="str">
        <f t="shared" ref="E4:E12" si="0">D4</f>
        <v>0.45 POWER</v>
      </c>
      <c r="F4" s="27" t="s">
        <v>1335</v>
      </c>
      <c r="G4" s="27" t="s">
        <v>1336</v>
      </c>
      <c r="H4" s="27" t="s">
        <v>1337</v>
      </c>
      <c r="I4" s="27" t="s">
        <v>1338</v>
      </c>
      <c r="J4" s="27" t="s">
        <v>1345</v>
      </c>
      <c r="K4" s="27" t="s">
        <v>1546</v>
      </c>
      <c r="L4" s="27" t="s">
        <v>1297</v>
      </c>
      <c r="M4" s="27" t="s">
        <v>1298</v>
      </c>
      <c r="N4" s="31"/>
      <c r="O4" s="31"/>
      <c r="P4" s="31"/>
      <c r="Q4" s="31"/>
      <c r="R4" s="27" t="s">
        <v>1295</v>
      </c>
      <c r="S4" s="49"/>
      <c r="T4" s="49"/>
      <c r="U4" s="27" t="s">
        <v>1287</v>
      </c>
      <c r="V4" s="49"/>
      <c r="W4" s="49"/>
      <c r="X4" s="49"/>
      <c r="Y4" s="49"/>
      <c r="Z4" s="22"/>
      <c r="AA4" s="49"/>
      <c r="AB4" s="49"/>
    </row>
    <row r="5" spans="2:28" ht="18" customHeight="1" x14ac:dyDescent="0.2">
      <c r="B5" s="31">
        <v>0.375</v>
      </c>
      <c r="C5" s="32" t="s">
        <v>16</v>
      </c>
      <c r="D5" s="31">
        <f t="shared" ref="D5:D12" si="1">POWER(B5,0.45)</f>
        <v>0.64315266046116626</v>
      </c>
      <c r="E5" s="31">
        <f t="shared" si="0"/>
        <v>0.64315266046116626</v>
      </c>
      <c r="F5" s="33">
        <f>IF('JMF SHEET PG 5'!F28&gt;0,'JMF SHEET PG 5'!F28,#N/A)</f>
        <v>100</v>
      </c>
      <c r="G5" s="31">
        <f>IF('JMF SHEET PG 5'!AD45&gt;0,'JMF SHEET PG 5'!AD45,#N/A)</f>
        <v>100</v>
      </c>
      <c r="H5" s="31">
        <f>IF('JMF SHEET PG 6'!F28&gt;0,'JMF SHEET PG 6'!F28,#N/A)</f>
        <v>100</v>
      </c>
      <c r="I5" s="31">
        <f>IF('JMF SHEET PG 6'!AD45&gt;0,'JMF SHEET PG 6'!AD45,#N/A)</f>
        <v>100</v>
      </c>
      <c r="J5" s="33">
        <f>IF('JMF SHEET PG 7'!N32&gt;0,'JMF SHEET PG 7'!N32,#N/A)</f>
        <v>100</v>
      </c>
      <c r="K5" s="33">
        <f>IF('JMF SHEET PG 7'!Z32&gt;0,'JMF SHEET PG 7'!Z32,#N/A)</f>
        <v>100</v>
      </c>
      <c r="L5" s="33">
        <f>IF(X5&gt;0,X5,#N/A)</f>
        <v>100</v>
      </c>
      <c r="M5" s="33">
        <f t="shared" ref="L5:M12" si="2">IF(Y5&gt;0,Y5,#N/A)</f>
        <v>100</v>
      </c>
      <c r="N5" s="31"/>
      <c r="O5" s="31">
        <v>0</v>
      </c>
      <c r="P5" s="31">
        <v>100</v>
      </c>
      <c r="Q5" s="31"/>
      <c r="R5" s="35">
        <v>100</v>
      </c>
      <c r="S5" s="35">
        <v>100</v>
      </c>
      <c r="T5" s="49"/>
      <c r="U5" s="35">
        <v>100</v>
      </c>
      <c r="V5" s="35">
        <v>100</v>
      </c>
      <c r="W5" s="49"/>
      <c r="X5" s="34">
        <f>IF('JMF SHEET PG 1'!$H$24="421-A",R5,IF('JMF SHEET PG 1'!$H$24="421-B",U5,""))</f>
        <v>100</v>
      </c>
      <c r="Y5" s="34">
        <f>IF('JMF SHEET PG 1'!$H$24="421-A",S5,IF('JMF SHEET PG 1'!$H$24="421-B",V5,""))</f>
        <v>100</v>
      </c>
      <c r="Z5" s="23"/>
      <c r="AA5" s="49">
        <v>0</v>
      </c>
      <c r="AB5" s="49">
        <v>0</v>
      </c>
    </row>
    <row r="6" spans="2:28" ht="18" customHeight="1" x14ac:dyDescent="0.2">
      <c r="B6" s="31">
        <v>0.187</v>
      </c>
      <c r="C6" s="32" t="s">
        <v>17</v>
      </c>
      <c r="D6" s="31">
        <f t="shared" si="1"/>
        <v>0.47024991198971094</v>
      </c>
      <c r="E6" s="31">
        <f t="shared" si="0"/>
        <v>0.47024991198971094</v>
      </c>
      <c r="F6" s="33">
        <f>IF('JMF SHEET PG 5'!F29&gt;0,'JMF SHEET PG 5'!F29,#N/A)</f>
        <v>94</v>
      </c>
      <c r="G6" s="31">
        <f>IF('JMF SHEET PG 5'!AD46&gt;0,'JMF SHEET PG 5'!AD46,#N/A)</f>
        <v>94</v>
      </c>
      <c r="H6" s="31">
        <f>IF('JMF SHEET PG 6'!F29&gt;0,'JMF SHEET PG 6'!F29,#N/A)</f>
        <v>90</v>
      </c>
      <c r="I6" s="31">
        <f>IF('JMF SHEET PG 6'!AD46&gt;0,'JMF SHEET PG 6'!AD46,#N/A)</f>
        <v>96</v>
      </c>
      <c r="J6" s="33">
        <f>IF('JMF SHEET PG 7'!N33&gt;0,'JMF SHEET PG 7'!N33,#N/A)</f>
        <v>92</v>
      </c>
      <c r="K6" s="33">
        <f>IF('JMF SHEET PG 7'!Z33&gt;0,'JMF SHEET PG 7'!Z33,#N/A)</f>
        <v>95</v>
      </c>
      <c r="L6" s="33">
        <f t="shared" si="2"/>
        <v>85</v>
      </c>
      <c r="M6" s="33">
        <f t="shared" si="2"/>
        <v>100</v>
      </c>
      <c r="N6" s="31"/>
      <c r="O6" s="31"/>
      <c r="P6" s="31"/>
      <c r="Q6" s="31"/>
      <c r="R6" s="27">
        <v>85</v>
      </c>
      <c r="S6" s="49">
        <v>100</v>
      </c>
      <c r="T6" s="49"/>
      <c r="U6" s="27">
        <v>70</v>
      </c>
      <c r="V6" s="49">
        <v>90</v>
      </c>
      <c r="W6" s="49"/>
      <c r="X6" s="34">
        <f>IF('JMF SHEET PG 1'!$H$24="421-A",R6,IF('JMF SHEET PG 1'!$H$24="421-B",U6,""))</f>
        <v>85</v>
      </c>
      <c r="Y6" s="34">
        <f>IF('JMF SHEET PG 1'!$H$24="421-A",S6,IF('JMF SHEET PG 1'!$H$24="421-B",V6,""))</f>
        <v>100</v>
      </c>
      <c r="Z6" s="23"/>
      <c r="AA6" s="49">
        <f>IF('JMF SHEET PG 1'!H16&lt;&gt;"",D5,0)</f>
        <v>0.64315266046116626</v>
      </c>
      <c r="AB6" s="49">
        <f>IF('JMF SHEET PG 1'!H16&lt;&gt;"",100,0)</f>
        <v>100</v>
      </c>
    </row>
    <row r="7" spans="2:28" ht="18" customHeight="1" x14ac:dyDescent="0.2">
      <c r="B7" s="31">
        <v>9.3700000000000006E-2</v>
      </c>
      <c r="C7" s="32" t="s">
        <v>18</v>
      </c>
      <c r="D7" s="31">
        <f t="shared" si="1"/>
        <v>0.3445742471112157</v>
      </c>
      <c r="E7" s="31">
        <f t="shared" si="0"/>
        <v>0.3445742471112157</v>
      </c>
      <c r="F7" s="33">
        <f>IF('JMF SHEET PG 5'!F30&gt;0,'JMF SHEET PG 5'!F30,#N/A)</f>
        <v>76</v>
      </c>
      <c r="G7" s="31">
        <f>IF('JMF SHEET PG 5'!AD47&gt;0,'JMF SHEET PG 5'!AD47,#N/A)</f>
        <v>79</v>
      </c>
      <c r="H7" s="31">
        <f>IF('JMF SHEET PG 6'!F30&gt;0,'JMF SHEET PG 6'!F30,#N/A)</f>
        <v>75</v>
      </c>
      <c r="I7" s="31">
        <f>IF('JMF SHEET PG 6'!AD47&gt;0,'JMF SHEET PG 6'!AD47,#N/A)</f>
        <v>82</v>
      </c>
      <c r="J7" s="33">
        <f>IF('JMF SHEET PG 7'!N34&gt;0,'JMF SHEET PG 7'!N34,#N/A)</f>
        <v>76</v>
      </c>
      <c r="K7" s="33">
        <f>IF('JMF SHEET PG 7'!Z34&gt;0,'JMF SHEET PG 7'!Z34,#N/A)</f>
        <v>81</v>
      </c>
      <c r="L7" s="33">
        <f t="shared" si="2"/>
        <v>50</v>
      </c>
      <c r="M7" s="33">
        <f t="shared" si="2"/>
        <v>80</v>
      </c>
      <c r="N7" s="31"/>
      <c r="O7" s="31"/>
      <c r="P7" s="31"/>
      <c r="Q7" s="31"/>
      <c r="R7" s="27">
        <v>50</v>
      </c>
      <c r="S7" s="49">
        <v>80</v>
      </c>
      <c r="T7" s="49"/>
      <c r="U7" s="27">
        <v>45</v>
      </c>
      <c r="V7" s="49">
        <v>70</v>
      </c>
      <c r="W7" s="49"/>
      <c r="X7" s="34">
        <f>IF('JMF SHEET PG 1'!$H$24="421-A",R7,IF('JMF SHEET PG 1'!$H$24="421-B",U7,""))</f>
        <v>50</v>
      </c>
      <c r="Y7" s="34">
        <f>IF('JMF SHEET PG 1'!$H$24="421-A",S7,IF('JMF SHEET PG 1'!$H$24="421-B",V7,""))</f>
        <v>80</v>
      </c>
      <c r="Z7" s="23"/>
      <c r="AA7" s="29"/>
      <c r="AB7" s="29"/>
    </row>
    <row r="8" spans="2:28" ht="18" customHeight="1" x14ac:dyDescent="0.2">
      <c r="B8" s="31">
        <v>4.6899999999999997E-2</v>
      </c>
      <c r="C8" s="32" t="s">
        <v>19</v>
      </c>
      <c r="D8" s="31">
        <f t="shared" si="1"/>
        <v>0.2523642189622568</v>
      </c>
      <c r="E8" s="31">
        <f t="shared" si="0"/>
        <v>0.2523642189622568</v>
      </c>
      <c r="F8" s="33">
        <f>IF('JMF SHEET PG 5'!F31&gt;0,'JMF SHEET PG 5'!F31,#N/A)</f>
        <v>52</v>
      </c>
      <c r="G8" s="31">
        <f>IF('JMF SHEET PG 5'!AD48&gt;0,'JMF SHEET PG 5'!AD48,#N/A)</f>
        <v>52</v>
      </c>
      <c r="H8" s="31">
        <f>IF('JMF SHEET PG 6'!F31&gt;0,'JMF SHEET PG 6'!F31,#N/A)</f>
        <v>57</v>
      </c>
      <c r="I8" s="31">
        <f>IF('JMF SHEET PG 6'!AD48&gt;0,'JMF SHEET PG 6'!AD48,#N/A)</f>
        <v>57</v>
      </c>
      <c r="J8" s="33">
        <f>IF('JMF SHEET PG 7'!N35&gt;0,'JMF SHEET PG 7'!N35,#N/A)</f>
        <v>55</v>
      </c>
      <c r="K8" s="33">
        <f>IF('JMF SHEET PG 7'!Z35&gt;0,'JMF SHEET PG 7'!Z35,#N/A)</f>
        <v>55</v>
      </c>
      <c r="L8" s="33">
        <f t="shared" si="2"/>
        <v>40</v>
      </c>
      <c r="M8" s="33">
        <f t="shared" si="2"/>
        <v>65</v>
      </c>
      <c r="N8" s="31"/>
      <c r="O8" s="31"/>
      <c r="P8" s="31"/>
      <c r="Q8" s="31"/>
      <c r="R8" s="27">
        <v>40</v>
      </c>
      <c r="S8" s="49">
        <v>65</v>
      </c>
      <c r="T8" s="49"/>
      <c r="U8" s="27">
        <v>28</v>
      </c>
      <c r="V8" s="49">
        <v>50</v>
      </c>
      <c r="W8" s="49"/>
      <c r="X8" s="34">
        <f>IF('JMF SHEET PG 1'!$H$24="421-A",R8,IF('JMF SHEET PG 1'!$H$24="421-B",U8,""))</f>
        <v>40</v>
      </c>
      <c r="Y8" s="34">
        <f>IF('JMF SHEET PG 1'!$H$24="421-A",S8,IF('JMF SHEET PG 1'!$H$24="421-B",V8,""))</f>
        <v>65</v>
      </c>
      <c r="Z8" s="23"/>
      <c r="AA8" s="29"/>
      <c r="AB8" s="29"/>
    </row>
    <row r="9" spans="2:28" ht="18" customHeight="1" x14ac:dyDescent="0.2">
      <c r="B9" s="31">
        <v>2.3400000000000001E-2</v>
      </c>
      <c r="C9" s="32" t="s">
        <v>20</v>
      </c>
      <c r="D9" s="31">
        <f t="shared" si="1"/>
        <v>0.18456406029791109</v>
      </c>
      <c r="E9" s="31">
        <f t="shared" si="0"/>
        <v>0.18456406029791109</v>
      </c>
      <c r="F9" s="33">
        <f>IF('JMF SHEET PG 5'!F32&gt;0,'JMF SHEET PG 5'!F32,#N/A)</f>
        <v>34</v>
      </c>
      <c r="G9" s="31">
        <f>IF('JMF SHEET PG 5'!AD49&gt;0,'JMF SHEET PG 5'!AD49,#N/A)</f>
        <v>33</v>
      </c>
      <c r="H9" s="31">
        <f>IF('JMF SHEET PG 6'!F32&gt;0,'JMF SHEET PG 6'!F32,#N/A)</f>
        <v>29</v>
      </c>
      <c r="I9" s="31">
        <f>IF('JMF SHEET PG 6'!AD49&gt;0,'JMF SHEET PG 6'!AD49,#N/A)</f>
        <v>37</v>
      </c>
      <c r="J9" s="33">
        <f>IF('JMF SHEET PG 7'!N36&gt;0,'JMF SHEET PG 7'!N36,#N/A)</f>
        <v>32</v>
      </c>
      <c r="K9" s="33">
        <f>IF('JMF SHEET PG 7'!Z36&gt;0,'JMF SHEET PG 7'!Z36,#N/A)</f>
        <v>35</v>
      </c>
      <c r="L9" s="33">
        <f t="shared" si="2"/>
        <v>25</v>
      </c>
      <c r="M9" s="33">
        <f t="shared" si="2"/>
        <v>45</v>
      </c>
      <c r="N9" s="31"/>
      <c r="O9" s="31"/>
      <c r="P9" s="31"/>
      <c r="Q9" s="31"/>
      <c r="R9" s="27">
        <v>25</v>
      </c>
      <c r="S9" s="49">
        <v>45</v>
      </c>
      <c r="T9" s="49"/>
      <c r="U9" s="27">
        <v>19</v>
      </c>
      <c r="V9" s="49">
        <v>34</v>
      </c>
      <c r="W9" s="49"/>
      <c r="X9" s="34">
        <f>IF('JMF SHEET PG 1'!$H$24="421-A",R9,IF('JMF SHEET PG 1'!$H$24="421-B",U9,""))</f>
        <v>25</v>
      </c>
      <c r="Y9" s="34">
        <f>IF('JMF SHEET PG 1'!$H$24="421-A",S9,IF('JMF SHEET PG 1'!$H$24="421-B",V9,""))</f>
        <v>45</v>
      </c>
      <c r="Z9" s="23"/>
      <c r="AA9" s="29"/>
      <c r="AB9" s="29"/>
    </row>
    <row r="10" spans="2:28" ht="18" customHeight="1" x14ac:dyDescent="0.2">
      <c r="B10" s="31">
        <v>1.17E-2</v>
      </c>
      <c r="C10" s="32" t="s">
        <v>21</v>
      </c>
      <c r="D10" s="31">
        <f t="shared" si="1"/>
        <v>0.13510880033390882</v>
      </c>
      <c r="E10" s="31">
        <f t="shared" si="0"/>
        <v>0.13510880033390882</v>
      </c>
      <c r="F10" s="33">
        <f>IF('JMF SHEET PG 5'!F33&gt;0,'JMF SHEET PG 5'!F33,#N/A)</f>
        <v>22</v>
      </c>
      <c r="G10" s="31">
        <f>IF('JMF SHEET PG 5'!AD50&gt;0,'JMF SHEET PG 5'!AD50,#N/A)</f>
        <v>20</v>
      </c>
      <c r="H10" s="31">
        <f>IF('JMF SHEET PG 6'!F33&gt;0,'JMF SHEET PG 6'!F33,#N/A)</f>
        <v>18</v>
      </c>
      <c r="I10" s="31">
        <f>IF('JMF SHEET PG 6'!AD50&gt;0,'JMF SHEET PG 6'!AD50,#N/A)</f>
        <v>23</v>
      </c>
      <c r="J10" s="33">
        <f>IF('JMF SHEET PG 7'!N37&gt;0,'JMF SHEET PG 7'!N37,#N/A)</f>
        <v>20</v>
      </c>
      <c r="K10" s="33">
        <f>IF('JMF SHEET PG 7'!Z37&gt;0,'JMF SHEET PG 7'!Z37,#N/A)</f>
        <v>22</v>
      </c>
      <c r="L10" s="33">
        <f t="shared" si="2"/>
        <v>13</v>
      </c>
      <c r="M10" s="33">
        <f t="shared" si="2"/>
        <v>25</v>
      </c>
      <c r="N10" s="31"/>
      <c r="O10" s="31"/>
      <c r="P10" s="31"/>
      <c r="Q10" s="31"/>
      <c r="R10" s="27">
        <v>13</v>
      </c>
      <c r="S10" s="49">
        <v>25</v>
      </c>
      <c r="T10" s="49"/>
      <c r="U10" s="27">
        <v>12</v>
      </c>
      <c r="V10" s="49">
        <v>25</v>
      </c>
      <c r="W10" s="49"/>
      <c r="X10" s="34">
        <f>IF('JMF SHEET PG 1'!$H$24="421-A",R10,IF('JMF SHEET PG 1'!$H$24="421-B",U10,""))</f>
        <v>13</v>
      </c>
      <c r="Y10" s="34">
        <f>IF('JMF SHEET PG 1'!$H$24="421-A",S10,IF('JMF SHEET PG 1'!$H$24="421-B",V10,""))</f>
        <v>25</v>
      </c>
      <c r="Z10" s="23"/>
      <c r="AA10" s="29"/>
      <c r="AB10" s="29"/>
    </row>
    <row r="11" spans="2:28" ht="18" customHeight="1" x14ac:dyDescent="0.2">
      <c r="B11" s="31">
        <v>5.8999999999999999E-3</v>
      </c>
      <c r="C11" s="32" t="s">
        <v>22</v>
      </c>
      <c r="D11" s="31">
        <f t="shared" si="1"/>
        <v>9.9284946297893126E-2</v>
      </c>
      <c r="E11" s="31">
        <f t="shared" si="0"/>
        <v>9.9284946297893126E-2</v>
      </c>
      <c r="F11" s="33">
        <f>IF('JMF SHEET PG 5'!F34&gt;0,'JMF SHEET PG 5'!F34,#N/A)</f>
        <v>14</v>
      </c>
      <c r="G11" s="31">
        <f>IF('JMF SHEET PG 5'!AD51&gt;0,'JMF SHEET PG 5'!AD51,#N/A)</f>
        <v>12</v>
      </c>
      <c r="H11" s="31">
        <f>IF('JMF SHEET PG 6'!F34&gt;0,'JMF SHEET PG 6'!F34,#N/A)</f>
        <v>14</v>
      </c>
      <c r="I11" s="31">
        <f>IF('JMF SHEET PG 6'!AD51&gt;0,'JMF SHEET PG 6'!AD51,#N/A)</f>
        <v>13</v>
      </c>
      <c r="J11" s="33">
        <f>IF('JMF SHEET PG 7'!N38&gt;0,'JMF SHEET PG 7'!N38,#N/A)</f>
        <v>14</v>
      </c>
      <c r="K11" s="33">
        <f>IF('JMF SHEET PG 7'!Z38&gt;0,'JMF SHEET PG 7'!Z38,#N/A)</f>
        <v>13</v>
      </c>
      <c r="L11" s="33" t="e">
        <f t="shared" si="2"/>
        <v>#N/A</v>
      </c>
      <c r="M11" s="33" t="e">
        <f t="shared" si="2"/>
        <v>#N/A</v>
      </c>
      <c r="N11" s="31"/>
      <c r="O11" s="31"/>
      <c r="P11" s="31"/>
      <c r="Q11" s="31"/>
      <c r="R11" s="27"/>
      <c r="S11" s="49"/>
      <c r="T11" s="49"/>
      <c r="U11" s="27">
        <v>7</v>
      </c>
      <c r="V11" s="49">
        <v>18</v>
      </c>
      <c r="W11" s="49"/>
      <c r="X11" s="34">
        <f>IF('JMF SHEET PG 1'!$H$24="421-A",R11,IF('JMF SHEET PG 1'!$H$24="421-B",U11,""))</f>
        <v>0</v>
      </c>
      <c r="Y11" s="34">
        <f>IF('JMF SHEET PG 1'!$H$24="421-A",S11,IF('JMF SHEET PG 1'!$H$24="421-B",V11,""))</f>
        <v>0</v>
      </c>
      <c r="Z11" s="23"/>
      <c r="AA11" s="29"/>
      <c r="AB11" s="29"/>
    </row>
    <row r="12" spans="2:28" ht="18" customHeight="1" x14ac:dyDescent="0.2">
      <c r="B12" s="31">
        <v>2.8999999999999998E-3</v>
      </c>
      <c r="C12" s="36" t="s">
        <v>32</v>
      </c>
      <c r="D12" s="31">
        <f t="shared" si="1"/>
        <v>7.2123882811047119E-2</v>
      </c>
      <c r="E12" s="31">
        <f t="shared" si="0"/>
        <v>7.2123882811047119E-2</v>
      </c>
      <c r="F12" s="37">
        <f>IF('JMF SHEET PG 5'!F35&gt;0,'JMF SHEET PG 5'!F35,#N/A)</f>
        <v>8</v>
      </c>
      <c r="G12" s="37">
        <f>IF('JMF SHEET PG 5'!AD52&gt;0,'JMF SHEET PG 5'!AD52,#N/A)</f>
        <v>7.2</v>
      </c>
      <c r="H12" s="37">
        <f>IF('JMF SHEET PG 6'!F35&gt;0,'JMF SHEET PG 6'!F35,#N/A)</f>
        <v>5</v>
      </c>
      <c r="I12" s="31">
        <f>IF('JMF SHEET PG 6'!AD52&gt;0,'JMF SHEET PG 6'!AD52,#N/A)</f>
        <v>7.4</v>
      </c>
      <c r="J12" s="37">
        <f>IF('JMF SHEET PG 7'!N39&gt;0,'JMF SHEET PG 7'!N39,#N/A)</f>
        <v>7</v>
      </c>
      <c r="K12" s="37">
        <f>IF('JMF SHEET PG 7'!Z39&gt;0,'JMF SHEET PG 7'!Z39,#N/A)</f>
        <v>7</v>
      </c>
      <c r="L12" s="37">
        <f t="shared" si="2"/>
        <v>5</v>
      </c>
      <c r="M12" s="37">
        <f t="shared" si="2"/>
        <v>15</v>
      </c>
      <c r="N12" s="31"/>
      <c r="O12" s="31"/>
      <c r="P12" s="31"/>
      <c r="Q12" s="31"/>
      <c r="R12" s="27">
        <v>5</v>
      </c>
      <c r="S12" s="49">
        <v>15</v>
      </c>
      <c r="T12" s="49"/>
      <c r="U12" s="27">
        <v>5</v>
      </c>
      <c r="V12" s="49">
        <v>18</v>
      </c>
      <c r="W12" s="49"/>
      <c r="X12" s="34">
        <f>IF('JMF SHEET PG 1'!$H$24="421-A",R12,IF('JMF SHEET PG 1'!$H$24="421-B",U12,""))</f>
        <v>5</v>
      </c>
      <c r="Y12" s="34">
        <f>IF('JMF SHEET PG 1'!$H$24="421-A",S12,IF('JMF SHEET PG 1'!$H$24="421-B",V12,""))</f>
        <v>15</v>
      </c>
      <c r="Z12" s="23"/>
      <c r="AA12" s="29"/>
      <c r="AB12" s="29"/>
    </row>
    <row r="13" spans="2:28" ht="18" customHeight="1" x14ac:dyDescent="0.2"/>
    <row r="14" spans="2:28" ht="18" customHeight="1" x14ac:dyDescent="0.2"/>
    <row r="15" spans="2:28" ht="18" customHeight="1" x14ac:dyDescent="0.2"/>
    <row r="16" spans="2:28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iUbqvP8RUqpRrxHsMQ1+duamveelE3s+KVm0Qlro6B1C31XkfAvJ7xXbgBuLqcIf5BA5Q2xG1I46ZkCTfo8CSQ==" saltValue="+YNzcnI8YFXq+inJabXwlw==" spinCount="100000" sheet="1" objects="1" scenarios="1"/>
  <dataConsolidate/>
  <printOptions horizontalCentered="1"/>
  <pageMargins left="0.5" right="0.5" top="0.5" bottom="0.5" header="0.5" footer="0.5"/>
  <pageSetup scale="35" orientation="landscape" horizontalDpi="300" verticalDpi="300" r:id="rId1"/>
  <headerFooter alignWithMargins="0"/>
  <colBreaks count="1" manualBreakCount="1">
    <brk id="22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N27"/>
  <sheetViews>
    <sheetView topLeftCell="G1" zoomScale="80" zoomScaleNormal="80" workbookViewId="0">
      <selection activeCell="J29" sqref="J29"/>
    </sheetView>
  </sheetViews>
  <sheetFormatPr defaultColWidth="8.85546875" defaultRowHeight="12.75" x14ac:dyDescent="0.2"/>
  <cols>
    <col min="1" max="1" width="14.85546875" style="78" customWidth="1"/>
    <col min="2" max="2" width="14" style="78" customWidth="1"/>
    <col min="3" max="3" width="118.5703125" style="78" bestFit="1" customWidth="1"/>
    <col min="4" max="4" width="15.5703125" style="78" customWidth="1"/>
    <col min="5" max="5" width="25.140625" style="78" customWidth="1"/>
    <col min="6" max="6" width="22.42578125" style="78" bestFit="1" customWidth="1"/>
    <col min="7" max="7" width="18.5703125" style="78" bestFit="1" customWidth="1"/>
    <col min="8" max="8" width="18.5703125" style="78" customWidth="1"/>
    <col min="9" max="9" width="23.42578125" style="78" customWidth="1"/>
    <col min="10" max="10" width="34.42578125" style="78" customWidth="1"/>
    <col min="11" max="11" width="24" style="78" customWidth="1"/>
    <col min="12" max="13" width="38" style="78" customWidth="1"/>
    <col min="14" max="14" width="37.42578125" style="79" customWidth="1"/>
    <col min="15" max="16384" width="8.85546875" style="78"/>
  </cols>
  <sheetData>
    <row r="1" spans="1:14" s="141" customFormat="1" x14ac:dyDescent="0.2">
      <c r="N1" s="142"/>
    </row>
    <row r="2" spans="1:14" s="141" customFormat="1" x14ac:dyDescent="0.2">
      <c r="A2" s="143" t="s">
        <v>1589</v>
      </c>
      <c r="B2" s="144">
        <v>43040</v>
      </c>
      <c r="N2" s="142"/>
    </row>
    <row r="3" spans="1:14" s="141" customFormat="1" x14ac:dyDescent="0.2">
      <c r="N3" s="142"/>
    </row>
    <row r="4" spans="1:14" s="141" customFormat="1" x14ac:dyDescent="0.2">
      <c r="A4" s="145" t="s">
        <v>48</v>
      </c>
      <c r="B4" s="141">
        <v>2013</v>
      </c>
      <c r="N4" s="142"/>
    </row>
    <row r="5" spans="1:14" s="141" customFormat="1" x14ac:dyDescent="0.2">
      <c r="A5" s="145" t="s">
        <v>47</v>
      </c>
      <c r="B5" s="146">
        <v>42293</v>
      </c>
      <c r="N5" s="142"/>
    </row>
    <row r="6" spans="1:14" s="141" customFormat="1" x14ac:dyDescent="0.2">
      <c r="N6" s="142"/>
    </row>
    <row r="7" spans="1:14" s="80" customFormat="1" x14ac:dyDescent="0.2">
      <c r="B7" s="81" t="s">
        <v>1180</v>
      </c>
      <c r="C7" s="81" t="s">
        <v>1181</v>
      </c>
      <c r="D7" s="81" t="s">
        <v>978</v>
      </c>
      <c r="E7" s="81" t="s">
        <v>1182</v>
      </c>
      <c r="F7" s="81" t="s">
        <v>1183</v>
      </c>
      <c r="G7" s="81" t="s">
        <v>1184</v>
      </c>
      <c r="H7" s="81" t="s">
        <v>1185</v>
      </c>
      <c r="I7" s="81" t="s">
        <v>1186</v>
      </c>
      <c r="J7" s="81" t="s">
        <v>1187</v>
      </c>
      <c r="K7" s="81" t="s">
        <v>1188</v>
      </c>
      <c r="L7" s="81" t="s">
        <v>1570</v>
      </c>
      <c r="M7" s="81" t="s">
        <v>1571</v>
      </c>
      <c r="N7" s="82" t="s">
        <v>1189</v>
      </c>
    </row>
    <row r="8" spans="1:14" x14ac:dyDescent="0.2">
      <c r="B8" s="77" t="s">
        <v>53</v>
      </c>
      <c r="C8" s="84" t="s">
        <v>1561</v>
      </c>
      <c r="D8" s="77">
        <v>9</v>
      </c>
      <c r="E8" s="77" t="str">
        <f>IF(C8&lt;&gt;"",IF(AND(COUNTIF(C8,"*"&amp;"AS"&amp;"*")&gt;0,COUNTIF(C8,"*"&amp;"PER"&amp;"*")&gt;0,COUNTIF(C8,"*"&amp;"PLAN"&amp;"*")&gt;0),"Yes","No"),"")</f>
        <v>No</v>
      </c>
      <c r="F8" s="77" t="str">
        <f>IF(C8&lt;&gt;"",IF(AND(COUNTIF(C8,"*"&amp;"SPECIAL"&amp;"*")&gt;0),"Yes","No"),"")</f>
        <v>No</v>
      </c>
      <c r="G8" s="77" t="str">
        <f>IF(C8&lt;&gt;"",IF(AND(COUNTIF(C8,"*"&amp;"WARRANTY"&amp;"*")&gt;0),"Yes","No"),"")</f>
        <v>No</v>
      </c>
      <c r="H8" s="77" t="str">
        <f>IF(C8&lt;&gt;"",IF(AND(COUNTIF(C8,"*"&amp;"MISC"&amp;"*")&gt;0),"Yes","No"),"")</f>
        <v>No</v>
      </c>
      <c r="I8" s="77" t="str">
        <f>IF(C8&lt;&gt;"",IF(COUNTIF(C8,"*"&amp;"421E"&amp;"*")&gt;0,"Item 421",IF(COUNTIF(C8,"*"&amp;"881E"&amp;"*")&gt;0,"SS-881","Error")),"")</f>
        <v>Item 421</v>
      </c>
      <c r="J8" s="87" t="s">
        <v>1295</v>
      </c>
      <c r="K8" s="136" t="s">
        <v>1569</v>
      </c>
      <c r="L8" s="87" t="s">
        <v>1251</v>
      </c>
      <c r="M8" s="87" t="s">
        <v>1278</v>
      </c>
      <c r="N8" s="83"/>
    </row>
    <row r="9" spans="1:14" x14ac:dyDescent="0.2">
      <c r="B9" s="77" t="s">
        <v>55</v>
      </c>
      <c r="C9" s="84" t="s">
        <v>1293</v>
      </c>
      <c r="D9" s="77">
        <v>9</v>
      </c>
      <c r="E9" s="77" t="str">
        <f t="shared" ref="E9:E16" si="0">IF(C9&lt;&gt;"",IF(AND(COUNTIF(C9,"*"&amp;"AS"&amp;"*")&gt;0,COUNTIF(C9,"*"&amp;"PER"&amp;"*")&gt;0,COUNTIF(C9,"*"&amp;"PLAN"&amp;"*")&gt;0),"Yes","No"),"")</f>
        <v>Yes</v>
      </c>
      <c r="F9" s="77" t="str">
        <f t="shared" ref="F9:F16" si="1">IF(C9&lt;&gt;"",IF(AND(COUNTIF(C9,"*"&amp;"SPECIAL"&amp;"*")&gt;0),"Yes","No"),"")</f>
        <v>No</v>
      </c>
      <c r="G9" s="77" t="str">
        <f t="shared" ref="G9:G16" si="2">IF(C9&lt;&gt;"",IF(AND(COUNTIF(C9,"*"&amp;"WARRANTY"&amp;"*")&gt;0),"Yes","No"),"")</f>
        <v>No</v>
      </c>
      <c r="H9" s="77" t="str">
        <f t="shared" ref="H9:H16" si="3">IF(C9&lt;&gt;"",IF(AND(COUNTIF(C9,"*"&amp;"MISC"&amp;"*")&gt;0),"Yes","No"),"")</f>
        <v>No</v>
      </c>
      <c r="I9" s="77" t="str">
        <f t="shared" ref="I9:I16" si="4">IF(C9&lt;&gt;"",IF(COUNTIF(C9,"*"&amp;"421E"&amp;"*")&gt;0,"Item 421",IF(COUNTIF(C9,"*"&amp;"881E"&amp;"*")&gt;0,"SS-881","Error")),"")</f>
        <v>Item 421</v>
      </c>
      <c r="J9" s="87" t="s">
        <v>1295</v>
      </c>
      <c r="K9" s="136" t="s">
        <v>1569</v>
      </c>
      <c r="L9" s="136" t="s">
        <v>1569</v>
      </c>
      <c r="M9" s="136" t="s">
        <v>1569</v>
      </c>
      <c r="N9" s="83"/>
    </row>
    <row r="10" spans="1:14" x14ac:dyDescent="0.2">
      <c r="B10" s="77" t="s">
        <v>57</v>
      </c>
      <c r="C10" s="84" t="s">
        <v>1562</v>
      </c>
      <c r="D10" s="77">
        <v>9</v>
      </c>
      <c r="E10" s="77" t="str">
        <f t="shared" si="0"/>
        <v>No</v>
      </c>
      <c r="F10" s="77" t="str">
        <f t="shared" si="1"/>
        <v>No</v>
      </c>
      <c r="G10" s="77" t="str">
        <f t="shared" si="2"/>
        <v>No</v>
      </c>
      <c r="H10" s="77" t="str">
        <f t="shared" si="3"/>
        <v>No</v>
      </c>
      <c r="I10" s="77" t="str">
        <f t="shared" si="4"/>
        <v>Item 421</v>
      </c>
      <c r="J10" s="87" t="s">
        <v>1295</v>
      </c>
      <c r="K10" s="136" t="s">
        <v>1569</v>
      </c>
      <c r="L10" s="87" t="s">
        <v>1251</v>
      </c>
      <c r="M10" s="87" t="s">
        <v>1278</v>
      </c>
      <c r="N10" s="83"/>
    </row>
    <row r="11" spans="1:14" x14ac:dyDescent="0.2">
      <c r="B11" s="77" t="s">
        <v>59</v>
      </c>
      <c r="C11" s="84" t="s">
        <v>1563</v>
      </c>
      <c r="D11" s="77">
        <v>9</v>
      </c>
      <c r="E11" s="77" t="str">
        <f t="shared" si="0"/>
        <v>Yes</v>
      </c>
      <c r="F11" s="77" t="str">
        <f t="shared" si="1"/>
        <v>No</v>
      </c>
      <c r="G11" s="77" t="str">
        <f t="shared" si="2"/>
        <v>No</v>
      </c>
      <c r="H11" s="77" t="str">
        <f t="shared" si="3"/>
        <v>No</v>
      </c>
      <c r="I11" s="77" t="str">
        <f t="shared" si="4"/>
        <v>Item 421</v>
      </c>
      <c r="J11" s="87" t="s">
        <v>1295</v>
      </c>
      <c r="K11" s="136" t="s">
        <v>1569</v>
      </c>
      <c r="L11" s="136" t="s">
        <v>1569</v>
      </c>
      <c r="M11" s="136" t="s">
        <v>1569</v>
      </c>
      <c r="N11" s="83"/>
    </row>
    <row r="12" spans="1:14" x14ac:dyDescent="0.2">
      <c r="B12" s="77" t="s">
        <v>61</v>
      </c>
      <c r="C12" s="84" t="s">
        <v>1564</v>
      </c>
      <c r="D12" s="77">
        <v>9</v>
      </c>
      <c r="E12" s="77" t="str">
        <f t="shared" si="0"/>
        <v>No</v>
      </c>
      <c r="F12" s="77" t="str">
        <f t="shared" si="1"/>
        <v>No</v>
      </c>
      <c r="G12" s="77" t="str">
        <f t="shared" si="2"/>
        <v>No</v>
      </c>
      <c r="H12" s="77" t="str">
        <f t="shared" si="3"/>
        <v>No</v>
      </c>
      <c r="I12" s="77" t="str">
        <f t="shared" si="4"/>
        <v>Item 421</v>
      </c>
      <c r="J12" s="87" t="s">
        <v>1287</v>
      </c>
      <c r="K12" s="136" t="s">
        <v>1569</v>
      </c>
      <c r="L12" s="87" t="s">
        <v>1251</v>
      </c>
      <c r="M12" s="87" t="s">
        <v>1278</v>
      </c>
      <c r="N12" s="83"/>
    </row>
    <row r="13" spans="1:14" x14ac:dyDescent="0.2">
      <c r="B13" s="77" t="s">
        <v>63</v>
      </c>
      <c r="C13" s="84" t="s">
        <v>1565</v>
      </c>
      <c r="D13" s="77">
        <v>9</v>
      </c>
      <c r="E13" s="77" t="str">
        <f t="shared" si="0"/>
        <v>No</v>
      </c>
      <c r="F13" s="77" t="str">
        <f t="shared" si="1"/>
        <v>No</v>
      </c>
      <c r="G13" s="77" t="str">
        <f t="shared" si="2"/>
        <v>Yes</v>
      </c>
      <c r="H13" s="77" t="str">
        <f t="shared" si="3"/>
        <v>No</v>
      </c>
      <c r="I13" s="77" t="str">
        <f t="shared" si="4"/>
        <v>SS-881</v>
      </c>
      <c r="J13" s="136" t="s">
        <v>1569</v>
      </c>
      <c r="K13" s="136" t="s">
        <v>1569</v>
      </c>
      <c r="L13" s="136" t="s">
        <v>1569</v>
      </c>
      <c r="M13" s="136" t="s">
        <v>1569</v>
      </c>
      <c r="N13" s="83"/>
    </row>
    <row r="14" spans="1:14" x14ac:dyDescent="0.2">
      <c r="B14" s="77" t="s">
        <v>65</v>
      </c>
      <c r="C14" s="84" t="s">
        <v>1566</v>
      </c>
      <c r="D14" s="77">
        <v>9</v>
      </c>
      <c r="E14" s="77" t="str">
        <f t="shared" si="0"/>
        <v>Yes</v>
      </c>
      <c r="F14" s="77" t="str">
        <f t="shared" si="1"/>
        <v>No</v>
      </c>
      <c r="G14" s="77" t="str">
        <f t="shared" si="2"/>
        <v>Yes</v>
      </c>
      <c r="H14" s="77" t="str">
        <f t="shared" si="3"/>
        <v>No</v>
      </c>
      <c r="I14" s="77" t="str">
        <f t="shared" si="4"/>
        <v>SS-881</v>
      </c>
      <c r="J14" s="136" t="s">
        <v>1569</v>
      </c>
      <c r="K14" s="136" t="s">
        <v>1569</v>
      </c>
      <c r="L14" s="136" t="s">
        <v>1569</v>
      </c>
      <c r="M14" s="136" t="s">
        <v>1569</v>
      </c>
      <c r="N14" s="83"/>
    </row>
    <row r="15" spans="1:14" x14ac:dyDescent="0.2">
      <c r="B15" s="77" t="s">
        <v>67</v>
      </c>
      <c r="C15" s="84" t="s">
        <v>1567</v>
      </c>
      <c r="D15" s="77">
        <v>9</v>
      </c>
      <c r="E15" s="77" t="str">
        <f t="shared" si="0"/>
        <v>No</v>
      </c>
      <c r="F15" s="77" t="str">
        <f t="shared" si="1"/>
        <v>No</v>
      </c>
      <c r="G15" s="77" t="str">
        <f t="shared" si="2"/>
        <v>Yes</v>
      </c>
      <c r="H15" s="77" t="str">
        <f t="shared" si="3"/>
        <v>No</v>
      </c>
      <c r="I15" s="77" t="str">
        <f t="shared" si="4"/>
        <v>SS-881</v>
      </c>
      <c r="J15" s="136" t="s">
        <v>1569</v>
      </c>
      <c r="K15" s="136" t="s">
        <v>1569</v>
      </c>
      <c r="L15" s="136" t="s">
        <v>1569</v>
      </c>
      <c r="M15" s="136" t="s">
        <v>1569</v>
      </c>
      <c r="N15" s="83"/>
    </row>
    <row r="16" spans="1:14" s="80" customFormat="1" x14ac:dyDescent="0.2">
      <c r="B16" s="81" t="s">
        <v>69</v>
      </c>
      <c r="C16" s="85" t="s">
        <v>1568</v>
      </c>
      <c r="D16" s="81">
        <v>9</v>
      </c>
      <c r="E16" s="81" t="str">
        <f t="shared" si="0"/>
        <v>Yes</v>
      </c>
      <c r="F16" s="81" t="str">
        <f t="shared" si="1"/>
        <v>No</v>
      </c>
      <c r="G16" s="81" t="str">
        <f t="shared" si="2"/>
        <v>Yes</v>
      </c>
      <c r="H16" s="81" t="str">
        <f t="shared" si="3"/>
        <v>No</v>
      </c>
      <c r="I16" s="81" t="str">
        <f t="shared" si="4"/>
        <v>SS-881</v>
      </c>
      <c r="J16" s="137" t="s">
        <v>1569</v>
      </c>
      <c r="K16" s="137" t="s">
        <v>1569</v>
      </c>
      <c r="L16" s="137" t="s">
        <v>1569</v>
      </c>
      <c r="M16" s="137" t="s">
        <v>1569</v>
      </c>
      <c r="N16" s="82"/>
    </row>
    <row r="17" spans="2:14" x14ac:dyDescent="0.2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83"/>
    </row>
    <row r="18" spans="2:14" x14ac:dyDescent="0.2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83"/>
    </row>
    <row r="19" spans="2:14" x14ac:dyDescent="0.2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83"/>
    </row>
    <row r="20" spans="2:14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83"/>
    </row>
    <row r="21" spans="2:14" x14ac:dyDescent="0.2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83"/>
    </row>
    <row r="22" spans="2:14" x14ac:dyDescent="0.2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83"/>
    </row>
    <row r="23" spans="2:14" x14ac:dyDescent="0.2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83"/>
    </row>
    <row r="24" spans="2:14" x14ac:dyDescent="0.2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83"/>
    </row>
    <row r="25" spans="2:14" x14ac:dyDescent="0.2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3"/>
    </row>
    <row r="26" spans="2:14" x14ac:dyDescent="0.2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83"/>
    </row>
    <row r="27" spans="2:14" x14ac:dyDescent="0.2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83"/>
    </row>
  </sheetData>
  <sheetProtection algorithmName="SHA-512" hashValue="1P6kbix/cbepoi2pIEVT8GaiTJLi5pS3MfgQeebxdY81wLU3VSDA5BPHyRVDzMTklwhxk5U18kY8BCJGvTwxiA==" saltValue="vKLWSBQAS70uZhDh768Y2A==" spinCount="100000" sheet="1" objects="1" scenarios="1"/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P89"/>
  <sheetViews>
    <sheetView workbookViewId="0">
      <selection activeCell="J29" sqref="J29"/>
    </sheetView>
  </sheetViews>
  <sheetFormatPr defaultColWidth="8.85546875" defaultRowHeight="12.75" x14ac:dyDescent="0.2"/>
  <cols>
    <col min="1" max="1" width="10.85546875" style="15" customWidth="1"/>
    <col min="2" max="13" width="11.85546875" style="15" customWidth="1"/>
    <col min="14" max="14" width="10.85546875" style="15" customWidth="1"/>
    <col min="15" max="16" width="11.85546875" style="15" customWidth="1"/>
    <col min="17" max="16384" width="8.85546875" style="15"/>
  </cols>
  <sheetData>
    <row r="1" spans="1:16" x14ac:dyDescent="0.2">
      <c r="A1" s="39" t="s">
        <v>274</v>
      </c>
      <c r="B1" s="44" t="s">
        <v>263</v>
      </c>
      <c r="C1" s="44" t="s">
        <v>273</v>
      </c>
      <c r="D1" s="44" t="s">
        <v>264</v>
      </c>
      <c r="E1" s="45" t="s">
        <v>265</v>
      </c>
      <c r="F1" s="45" t="s">
        <v>270</v>
      </c>
      <c r="G1" s="45" t="s">
        <v>272</v>
      </c>
      <c r="H1" s="44" t="s">
        <v>267</v>
      </c>
      <c r="I1" s="45" t="s">
        <v>269</v>
      </c>
      <c r="J1" s="45" t="s">
        <v>262</v>
      </c>
      <c r="K1" s="44" t="s">
        <v>266</v>
      </c>
      <c r="L1" s="44" t="s">
        <v>268</v>
      </c>
      <c r="M1" s="44" t="s">
        <v>271</v>
      </c>
      <c r="O1" s="39" t="s">
        <v>260</v>
      </c>
      <c r="P1" s="39" t="s">
        <v>261</v>
      </c>
    </row>
    <row r="2" spans="1:16" x14ac:dyDescent="0.2">
      <c r="A2" s="46" t="s">
        <v>275</v>
      </c>
      <c r="B2" s="16" t="s">
        <v>174</v>
      </c>
      <c r="C2" s="16" t="s">
        <v>198</v>
      </c>
      <c r="D2" s="16" t="s">
        <v>175</v>
      </c>
      <c r="E2" s="18" t="s">
        <v>176</v>
      </c>
      <c r="F2" s="18" t="s">
        <v>188</v>
      </c>
      <c r="G2" s="18" t="s">
        <v>193</v>
      </c>
      <c r="H2" s="16" t="s">
        <v>178</v>
      </c>
      <c r="I2" s="18" t="s">
        <v>181</v>
      </c>
      <c r="J2" s="18" t="s">
        <v>173</v>
      </c>
      <c r="K2" s="16" t="s">
        <v>177</v>
      </c>
      <c r="L2" s="16" t="s">
        <v>179</v>
      </c>
      <c r="M2" s="16" t="s">
        <v>190</v>
      </c>
      <c r="O2" s="20" t="s">
        <v>173</v>
      </c>
      <c r="P2" s="12" t="s">
        <v>262</v>
      </c>
    </row>
    <row r="3" spans="1:16" x14ac:dyDescent="0.2">
      <c r="B3" s="16" t="s">
        <v>192</v>
      </c>
      <c r="C3" s="16" t="s">
        <v>207</v>
      </c>
      <c r="D3" s="16" t="s">
        <v>189</v>
      </c>
      <c r="E3" s="18" t="s">
        <v>222</v>
      </c>
      <c r="F3" s="18" t="s">
        <v>195</v>
      </c>
      <c r="G3" s="18" t="s">
        <v>196</v>
      </c>
      <c r="H3" s="16" t="s">
        <v>183</v>
      </c>
      <c r="I3" s="18" t="s">
        <v>185</v>
      </c>
      <c r="J3" s="18" t="s">
        <v>180</v>
      </c>
      <c r="K3" s="16" t="s">
        <v>199</v>
      </c>
      <c r="L3" s="16" t="s">
        <v>182</v>
      </c>
      <c r="M3" s="16" t="s">
        <v>200</v>
      </c>
      <c r="O3" s="20" t="s">
        <v>174</v>
      </c>
      <c r="P3" s="12" t="s">
        <v>263</v>
      </c>
    </row>
    <row r="4" spans="1:16" x14ac:dyDescent="0.2">
      <c r="B4" s="16" t="s">
        <v>204</v>
      </c>
      <c r="C4" s="16" t="s">
        <v>220</v>
      </c>
      <c r="D4" s="16" t="s">
        <v>194</v>
      </c>
      <c r="E4" s="18" t="s">
        <v>36</v>
      </c>
      <c r="F4" s="18" t="s">
        <v>202</v>
      </c>
      <c r="G4" s="18" t="s">
        <v>197</v>
      </c>
      <c r="H4" s="16" t="s">
        <v>184</v>
      </c>
      <c r="I4" s="18" t="s">
        <v>186</v>
      </c>
      <c r="J4" s="18" t="s">
        <v>208</v>
      </c>
      <c r="K4" s="16" t="s">
        <v>209</v>
      </c>
      <c r="L4" s="16" t="s">
        <v>187</v>
      </c>
      <c r="M4" s="17" t="s">
        <v>215</v>
      </c>
      <c r="O4" s="20" t="s">
        <v>175</v>
      </c>
      <c r="P4" s="12" t="s">
        <v>264</v>
      </c>
    </row>
    <row r="5" spans="1:16" x14ac:dyDescent="0.2">
      <c r="B5" s="16" t="s">
        <v>205</v>
      </c>
      <c r="C5" s="16" t="s">
        <v>234</v>
      </c>
      <c r="D5" s="16" t="s">
        <v>211</v>
      </c>
      <c r="E5" s="18" t="s">
        <v>247</v>
      </c>
      <c r="F5" s="18" t="s">
        <v>214</v>
      </c>
      <c r="G5" s="18" t="s">
        <v>221</v>
      </c>
      <c r="H5" s="16" t="s">
        <v>191</v>
      </c>
      <c r="I5" s="18" t="s">
        <v>201</v>
      </c>
      <c r="J5" s="18" t="s">
        <v>212</v>
      </c>
      <c r="K5" s="16" t="s">
        <v>225</v>
      </c>
      <c r="L5" s="16" t="s">
        <v>206</v>
      </c>
      <c r="O5" s="20" t="s">
        <v>176</v>
      </c>
      <c r="P5" s="12" t="s">
        <v>265</v>
      </c>
    </row>
    <row r="6" spans="1:16" x14ac:dyDescent="0.2">
      <c r="B6" s="16" t="s">
        <v>235</v>
      </c>
      <c r="C6" s="16" t="s">
        <v>243</v>
      </c>
      <c r="D6" s="16" t="s">
        <v>219</v>
      </c>
      <c r="E6" s="18" t="s">
        <v>248</v>
      </c>
      <c r="F6" s="18" t="s">
        <v>217</v>
      </c>
      <c r="G6" s="18" t="s">
        <v>223</v>
      </c>
      <c r="H6" s="16" t="s">
        <v>218</v>
      </c>
      <c r="I6" s="18" t="s">
        <v>203</v>
      </c>
      <c r="J6" s="18" t="s">
        <v>216</v>
      </c>
      <c r="K6" s="16" t="s">
        <v>228</v>
      </c>
      <c r="L6" s="16" t="s">
        <v>210</v>
      </c>
      <c r="O6" s="20" t="s">
        <v>177</v>
      </c>
      <c r="P6" s="12" t="s">
        <v>266</v>
      </c>
    </row>
    <row r="7" spans="1:16" x14ac:dyDescent="0.2">
      <c r="B7" s="16" t="s">
        <v>240</v>
      </c>
      <c r="C7" s="16" t="s">
        <v>245</v>
      </c>
      <c r="D7" s="16" t="s">
        <v>224</v>
      </c>
      <c r="E7" s="19" t="s">
        <v>249</v>
      </c>
      <c r="F7" s="18" t="s">
        <v>232</v>
      </c>
      <c r="G7" s="18" t="s">
        <v>231</v>
      </c>
      <c r="H7" s="16" t="s">
        <v>226</v>
      </c>
      <c r="I7" s="18" t="s">
        <v>239</v>
      </c>
      <c r="J7" s="18" t="s">
        <v>238</v>
      </c>
      <c r="K7" s="16" t="s">
        <v>230</v>
      </c>
      <c r="L7" s="16" t="s">
        <v>213</v>
      </c>
      <c r="O7" s="20" t="s">
        <v>178</v>
      </c>
      <c r="P7" s="12" t="s">
        <v>267</v>
      </c>
    </row>
    <row r="8" spans="1:16" x14ac:dyDescent="0.2">
      <c r="B8" s="16" t="s">
        <v>252</v>
      </c>
      <c r="C8" s="16" t="s">
        <v>257</v>
      </c>
      <c r="D8" s="16" t="s">
        <v>241</v>
      </c>
      <c r="F8" s="19" t="s">
        <v>236</v>
      </c>
      <c r="G8" s="18" t="s">
        <v>237</v>
      </c>
      <c r="H8" s="16" t="s">
        <v>227</v>
      </c>
      <c r="I8" s="19" t="s">
        <v>254</v>
      </c>
      <c r="J8" s="18" t="s">
        <v>242</v>
      </c>
      <c r="K8" s="16" t="s">
        <v>233</v>
      </c>
      <c r="L8" s="17" t="s">
        <v>250</v>
      </c>
      <c r="O8" s="20" t="s">
        <v>179</v>
      </c>
      <c r="P8" s="12" t="s">
        <v>268</v>
      </c>
    </row>
    <row r="9" spans="1:16" x14ac:dyDescent="0.2">
      <c r="B9" s="17" t="s">
        <v>259</v>
      </c>
      <c r="C9" s="17" t="s">
        <v>258</v>
      </c>
      <c r="D9" s="17" t="s">
        <v>256</v>
      </c>
      <c r="G9" s="19" t="s">
        <v>251</v>
      </c>
      <c r="H9" s="16" t="s">
        <v>229</v>
      </c>
      <c r="J9" s="19" t="s">
        <v>244</v>
      </c>
      <c r="K9" s="16" t="s">
        <v>253</v>
      </c>
      <c r="O9" s="20" t="s">
        <v>180</v>
      </c>
      <c r="P9" s="12" t="s">
        <v>262</v>
      </c>
    </row>
    <row r="10" spans="1:16" x14ac:dyDescent="0.2">
      <c r="B10" s="7"/>
      <c r="C10" s="8"/>
      <c r="H10" s="17" t="s">
        <v>246</v>
      </c>
      <c r="K10" s="17" t="s">
        <v>255</v>
      </c>
      <c r="O10" s="20" t="s">
        <v>181</v>
      </c>
      <c r="P10" s="12" t="s">
        <v>269</v>
      </c>
    </row>
    <row r="11" spans="1:16" x14ac:dyDescent="0.2">
      <c r="B11" s="7"/>
      <c r="C11" s="8"/>
      <c r="O11" s="20" t="s">
        <v>182</v>
      </c>
      <c r="P11" s="12" t="s">
        <v>268</v>
      </c>
    </row>
    <row r="12" spans="1:16" x14ac:dyDescent="0.2">
      <c r="B12" s="7"/>
      <c r="C12" s="8"/>
      <c r="O12" s="20" t="s">
        <v>183</v>
      </c>
      <c r="P12" s="12" t="s">
        <v>267</v>
      </c>
    </row>
    <row r="13" spans="1:16" x14ac:dyDescent="0.2">
      <c r="B13" s="7"/>
      <c r="C13" s="8"/>
      <c r="O13" s="20" t="s">
        <v>184</v>
      </c>
      <c r="P13" s="12" t="s">
        <v>267</v>
      </c>
    </row>
    <row r="14" spans="1:16" x14ac:dyDescent="0.2">
      <c r="B14" s="7"/>
      <c r="C14" s="8"/>
      <c r="O14" s="20" t="s">
        <v>185</v>
      </c>
      <c r="P14" s="12" t="s">
        <v>269</v>
      </c>
    </row>
    <row r="15" spans="1:16" x14ac:dyDescent="0.2">
      <c r="B15" s="7"/>
      <c r="C15" s="8"/>
      <c r="O15" s="20" t="s">
        <v>186</v>
      </c>
      <c r="P15" s="12" t="s">
        <v>269</v>
      </c>
    </row>
    <row r="16" spans="1:16" x14ac:dyDescent="0.2">
      <c r="B16" s="7"/>
      <c r="C16" s="8"/>
      <c r="O16" s="20" t="s">
        <v>187</v>
      </c>
      <c r="P16" s="12" t="s">
        <v>268</v>
      </c>
    </row>
    <row r="17" spans="2:16" x14ac:dyDescent="0.2">
      <c r="B17" s="7"/>
      <c r="C17" s="8"/>
      <c r="O17" s="20" t="s">
        <v>188</v>
      </c>
      <c r="P17" s="12" t="s">
        <v>270</v>
      </c>
    </row>
    <row r="18" spans="2:16" x14ac:dyDescent="0.2">
      <c r="B18" s="7"/>
      <c r="C18" s="8"/>
      <c r="O18" s="20" t="s">
        <v>189</v>
      </c>
      <c r="P18" s="12" t="s">
        <v>264</v>
      </c>
    </row>
    <row r="19" spans="2:16" x14ac:dyDescent="0.2">
      <c r="B19" s="7"/>
      <c r="C19" s="8"/>
      <c r="O19" s="20" t="s">
        <v>190</v>
      </c>
      <c r="P19" s="12" t="s">
        <v>271</v>
      </c>
    </row>
    <row r="20" spans="2:16" x14ac:dyDescent="0.2">
      <c r="B20" s="7"/>
      <c r="C20" s="8"/>
      <c r="O20" s="20" t="s">
        <v>191</v>
      </c>
      <c r="P20" s="12" t="s">
        <v>267</v>
      </c>
    </row>
    <row r="21" spans="2:16" x14ac:dyDescent="0.2">
      <c r="B21" s="7"/>
      <c r="C21" s="8"/>
      <c r="O21" s="20" t="s">
        <v>192</v>
      </c>
      <c r="P21" s="12" t="s">
        <v>263</v>
      </c>
    </row>
    <row r="22" spans="2:16" x14ac:dyDescent="0.2">
      <c r="B22" s="7"/>
      <c r="C22" s="8"/>
      <c r="O22" s="20" t="s">
        <v>193</v>
      </c>
      <c r="P22" s="12" t="s">
        <v>272</v>
      </c>
    </row>
    <row r="23" spans="2:16" x14ac:dyDescent="0.2">
      <c r="B23" s="7"/>
      <c r="C23" s="8"/>
      <c r="O23" s="20" t="s">
        <v>194</v>
      </c>
      <c r="P23" s="12" t="s">
        <v>264</v>
      </c>
    </row>
    <row r="24" spans="2:16" x14ac:dyDescent="0.2">
      <c r="B24" s="7"/>
      <c r="C24" s="8"/>
      <c r="O24" s="20" t="s">
        <v>195</v>
      </c>
      <c r="P24" s="12" t="s">
        <v>270</v>
      </c>
    </row>
    <row r="25" spans="2:16" x14ac:dyDescent="0.2">
      <c r="B25" s="7"/>
      <c r="C25" s="8"/>
      <c r="O25" s="20" t="s">
        <v>196</v>
      </c>
      <c r="P25" s="12" t="s">
        <v>272</v>
      </c>
    </row>
    <row r="26" spans="2:16" x14ac:dyDescent="0.2">
      <c r="B26" s="7"/>
      <c r="C26" s="8"/>
      <c r="O26" s="20" t="s">
        <v>197</v>
      </c>
      <c r="P26" s="12" t="s">
        <v>272</v>
      </c>
    </row>
    <row r="27" spans="2:16" x14ac:dyDescent="0.2">
      <c r="B27" s="7"/>
      <c r="C27" s="8"/>
      <c r="O27" s="20" t="s">
        <v>198</v>
      </c>
      <c r="P27" s="12" t="s">
        <v>273</v>
      </c>
    </row>
    <row r="28" spans="2:16" x14ac:dyDescent="0.2">
      <c r="B28" s="7"/>
      <c r="C28" s="8"/>
      <c r="O28" s="20" t="s">
        <v>199</v>
      </c>
      <c r="P28" s="12" t="s">
        <v>266</v>
      </c>
    </row>
    <row r="29" spans="2:16" x14ac:dyDescent="0.2">
      <c r="B29" s="7"/>
      <c r="C29" s="8"/>
      <c r="O29" s="20" t="s">
        <v>200</v>
      </c>
      <c r="P29" s="12" t="s">
        <v>271</v>
      </c>
    </row>
    <row r="30" spans="2:16" x14ac:dyDescent="0.2">
      <c r="B30" s="7"/>
      <c r="C30" s="8"/>
      <c r="O30" s="20" t="s">
        <v>201</v>
      </c>
      <c r="P30" s="12" t="s">
        <v>269</v>
      </c>
    </row>
    <row r="31" spans="2:16" x14ac:dyDescent="0.2">
      <c r="B31" s="7"/>
      <c r="C31" s="8"/>
      <c r="O31" s="20" t="s">
        <v>202</v>
      </c>
      <c r="P31" s="12" t="s">
        <v>270</v>
      </c>
    </row>
    <row r="32" spans="2:16" x14ac:dyDescent="0.2">
      <c r="B32" s="7"/>
      <c r="C32" s="8"/>
      <c r="O32" s="20" t="s">
        <v>203</v>
      </c>
      <c r="P32" s="12" t="s">
        <v>269</v>
      </c>
    </row>
    <row r="33" spans="2:16" x14ac:dyDescent="0.2">
      <c r="B33" s="7"/>
      <c r="C33" s="8"/>
      <c r="O33" s="20" t="s">
        <v>204</v>
      </c>
      <c r="P33" s="12" t="s">
        <v>263</v>
      </c>
    </row>
    <row r="34" spans="2:16" x14ac:dyDescent="0.2">
      <c r="B34" s="7"/>
      <c r="C34" s="8"/>
      <c r="O34" s="20" t="s">
        <v>205</v>
      </c>
      <c r="P34" s="12" t="s">
        <v>263</v>
      </c>
    </row>
    <row r="35" spans="2:16" x14ac:dyDescent="0.2">
      <c r="B35" s="7"/>
      <c r="C35" s="8"/>
      <c r="O35" s="20" t="s">
        <v>206</v>
      </c>
      <c r="P35" s="12" t="s">
        <v>268</v>
      </c>
    </row>
    <row r="36" spans="2:16" x14ac:dyDescent="0.2">
      <c r="B36" s="7"/>
      <c r="C36" s="8"/>
      <c r="O36" s="20" t="s">
        <v>207</v>
      </c>
      <c r="P36" s="12" t="s">
        <v>273</v>
      </c>
    </row>
    <row r="37" spans="2:16" x14ac:dyDescent="0.2">
      <c r="B37" s="7"/>
      <c r="C37" s="8"/>
      <c r="O37" s="20" t="s">
        <v>208</v>
      </c>
      <c r="P37" s="12" t="s">
        <v>262</v>
      </c>
    </row>
    <row r="38" spans="2:16" x14ac:dyDescent="0.2">
      <c r="B38" s="7"/>
      <c r="C38" s="8"/>
      <c r="O38" s="20" t="s">
        <v>209</v>
      </c>
      <c r="P38" s="12" t="s">
        <v>266</v>
      </c>
    </row>
    <row r="39" spans="2:16" x14ac:dyDescent="0.2">
      <c r="B39" s="7"/>
      <c r="C39" s="8"/>
      <c r="O39" s="20" t="s">
        <v>210</v>
      </c>
      <c r="P39" s="12" t="s">
        <v>268</v>
      </c>
    </row>
    <row r="40" spans="2:16" x14ac:dyDescent="0.2">
      <c r="B40" s="7"/>
      <c r="C40" s="8"/>
      <c r="O40" s="20" t="s">
        <v>211</v>
      </c>
      <c r="P40" s="12" t="s">
        <v>264</v>
      </c>
    </row>
    <row r="41" spans="2:16" x14ac:dyDescent="0.2">
      <c r="B41" s="7"/>
      <c r="C41" s="8"/>
      <c r="O41" s="20" t="s">
        <v>212</v>
      </c>
      <c r="P41" s="12" t="s">
        <v>262</v>
      </c>
    </row>
    <row r="42" spans="2:16" x14ac:dyDescent="0.2">
      <c r="B42" s="7"/>
      <c r="C42" s="8"/>
      <c r="O42" s="20" t="s">
        <v>213</v>
      </c>
      <c r="P42" s="12" t="s">
        <v>268</v>
      </c>
    </row>
    <row r="43" spans="2:16" x14ac:dyDescent="0.2">
      <c r="B43" s="7"/>
      <c r="C43" s="8"/>
      <c r="O43" s="20" t="s">
        <v>214</v>
      </c>
      <c r="P43" s="12" t="s">
        <v>270</v>
      </c>
    </row>
    <row r="44" spans="2:16" x14ac:dyDescent="0.2">
      <c r="B44" s="7"/>
      <c r="C44" s="8"/>
      <c r="O44" s="20" t="s">
        <v>215</v>
      </c>
      <c r="P44" s="12" t="s">
        <v>271</v>
      </c>
    </row>
    <row r="45" spans="2:16" x14ac:dyDescent="0.2">
      <c r="B45" s="7"/>
      <c r="C45" s="8"/>
      <c r="O45" s="20" t="s">
        <v>216</v>
      </c>
      <c r="P45" s="12" t="s">
        <v>262</v>
      </c>
    </row>
    <row r="46" spans="2:16" x14ac:dyDescent="0.2">
      <c r="B46" s="7"/>
      <c r="C46" s="8"/>
      <c r="O46" s="20" t="s">
        <v>217</v>
      </c>
      <c r="P46" s="12" t="s">
        <v>270</v>
      </c>
    </row>
    <row r="47" spans="2:16" x14ac:dyDescent="0.2">
      <c r="B47" s="7"/>
      <c r="C47" s="8"/>
      <c r="O47" s="20" t="s">
        <v>218</v>
      </c>
      <c r="P47" s="12" t="s">
        <v>267</v>
      </c>
    </row>
    <row r="48" spans="2:16" x14ac:dyDescent="0.2">
      <c r="B48" s="7"/>
      <c r="C48" s="8"/>
      <c r="O48" s="20" t="s">
        <v>219</v>
      </c>
      <c r="P48" s="12" t="s">
        <v>264</v>
      </c>
    </row>
    <row r="49" spans="2:16" x14ac:dyDescent="0.2">
      <c r="B49" s="7"/>
      <c r="C49" s="8"/>
      <c r="O49" s="20" t="s">
        <v>220</v>
      </c>
      <c r="P49" s="12" t="s">
        <v>273</v>
      </c>
    </row>
    <row r="50" spans="2:16" x14ac:dyDescent="0.2">
      <c r="B50" s="7"/>
      <c r="C50" s="8"/>
      <c r="O50" s="20" t="s">
        <v>221</v>
      </c>
      <c r="P50" s="12" t="s">
        <v>272</v>
      </c>
    </row>
    <row r="51" spans="2:16" x14ac:dyDescent="0.2">
      <c r="B51" s="7"/>
      <c r="C51" s="8"/>
      <c r="O51" s="20" t="s">
        <v>222</v>
      </c>
      <c r="P51" s="12" t="s">
        <v>265</v>
      </c>
    </row>
    <row r="52" spans="2:16" x14ac:dyDescent="0.2">
      <c r="B52" s="7"/>
      <c r="C52" s="8"/>
      <c r="O52" s="20" t="s">
        <v>223</v>
      </c>
      <c r="P52" s="12" t="s">
        <v>272</v>
      </c>
    </row>
    <row r="53" spans="2:16" x14ac:dyDescent="0.2">
      <c r="B53" s="7"/>
      <c r="C53" s="8"/>
      <c r="O53" s="20" t="s">
        <v>224</v>
      </c>
      <c r="P53" s="12" t="s">
        <v>264</v>
      </c>
    </row>
    <row r="54" spans="2:16" x14ac:dyDescent="0.2">
      <c r="B54" s="7"/>
      <c r="C54" s="8"/>
      <c r="O54" s="20" t="s">
        <v>225</v>
      </c>
      <c r="P54" s="12" t="s">
        <v>266</v>
      </c>
    </row>
    <row r="55" spans="2:16" x14ac:dyDescent="0.2">
      <c r="B55" s="7"/>
      <c r="C55" s="8"/>
      <c r="O55" s="20" t="s">
        <v>226</v>
      </c>
      <c r="P55" s="12" t="s">
        <v>267</v>
      </c>
    </row>
    <row r="56" spans="2:16" x14ac:dyDescent="0.2">
      <c r="B56" s="7"/>
      <c r="C56" s="8"/>
      <c r="O56" s="20" t="s">
        <v>227</v>
      </c>
      <c r="P56" s="12" t="s">
        <v>267</v>
      </c>
    </row>
    <row r="57" spans="2:16" x14ac:dyDescent="0.2">
      <c r="B57" s="7"/>
      <c r="C57" s="8"/>
      <c r="O57" s="20" t="s">
        <v>228</v>
      </c>
      <c r="P57" s="12" t="s">
        <v>266</v>
      </c>
    </row>
    <row r="58" spans="2:16" x14ac:dyDescent="0.2">
      <c r="B58" s="7"/>
      <c r="C58" s="8"/>
      <c r="O58" s="20" t="s">
        <v>229</v>
      </c>
      <c r="P58" s="12" t="s">
        <v>267</v>
      </c>
    </row>
    <row r="59" spans="2:16" x14ac:dyDescent="0.2">
      <c r="B59" s="7"/>
      <c r="C59" s="8"/>
      <c r="O59" s="20" t="s">
        <v>230</v>
      </c>
      <c r="P59" s="12" t="s">
        <v>266</v>
      </c>
    </row>
    <row r="60" spans="2:16" x14ac:dyDescent="0.2">
      <c r="B60" s="7"/>
      <c r="C60" s="8"/>
      <c r="O60" s="20" t="s">
        <v>231</v>
      </c>
      <c r="P60" s="12" t="s">
        <v>272</v>
      </c>
    </row>
    <row r="61" spans="2:16" x14ac:dyDescent="0.2">
      <c r="B61" s="7"/>
      <c r="C61" s="8"/>
      <c r="O61" s="20" t="s">
        <v>232</v>
      </c>
      <c r="P61" s="12" t="s">
        <v>270</v>
      </c>
    </row>
    <row r="62" spans="2:16" x14ac:dyDescent="0.2">
      <c r="B62" s="7"/>
      <c r="C62" s="8"/>
      <c r="O62" s="20" t="s">
        <v>233</v>
      </c>
      <c r="P62" s="12" t="s">
        <v>266</v>
      </c>
    </row>
    <row r="63" spans="2:16" x14ac:dyDescent="0.2">
      <c r="B63" s="7"/>
      <c r="C63" s="8"/>
      <c r="O63" s="20" t="s">
        <v>234</v>
      </c>
      <c r="P63" s="12" t="s">
        <v>273</v>
      </c>
    </row>
    <row r="64" spans="2:16" x14ac:dyDescent="0.2">
      <c r="B64" s="7"/>
      <c r="C64" s="8"/>
      <c r="O64" s="20" t="s">
        <v>235</v>
      </c>
      <c r="P64" s="12" t="s">
        <v>263</v>
      </c>
    </row>
    <row r="65" spans="2:16" x14ac:dyDescent="0.2">
      <c r="B65" s="7"/>
      <c r="C65" s="8"/>
      <c r="O65" s="20" t="s">
        <v>236</v>
      </c>
      <c r="P65" s="12" t="s">
        <v>270</v>
      </c>
    </row>
    <row r="66" spans="2:16" x14ac:dyDescent="0.2">
      <c r="B66" s="7"/>
      <c r="C66" s="8"/>
      <c r="O66" s="20" t="s">
        <v>237</v>
      </c>
      <c r="P66" s="12" t="s">
        <v>272</v>
      </c>
    </row>
    <row r="67" spans="2:16" x14ac:dyDescent="0.2">
      <c r="B67" s="7"/>
      <c r="C67" s="8"/>
      <c r="O67" s="20" t="s">
        <v>238</v>
      </c>
      <c r="P67" s="12" t="s">
        <v>262</v>
      </c>
    </row>
    <row r="68" spans="2:16" x14ac:dyDescent="0.2">
      <c r="B68" s="7"/>
      <c r="C68" s="8"/>
      <c r="O68" s="20" t="s">
        <v>36</v>
      </c>
      <c r="P68" s="12" t="s">
        <v>265</v>
      </c>
    </row>
    <row r="69" spans="2:16" x14ac:dyDescent="0.2">
      <c r="B69" s="7"/>
      <c r="C69" s="8"/>
      <c r="O69" s="20" t="s">
        <v>239</v>
      </c>
      <c r="P69" s="12" t="s">
        <v>269</v>
      </c>
    </row>
    <row r="70" spans="2:16" x14ac:dyDescent="0.2">
      <c r="B70" s="7"/>
      <c r="C70" s="8"/>
      <c r="O70" s="20" t="s">
        <v>240</v>
      </c>
      <c r="P70" s="12" t="s">
        <v>263</v>
      </c>
    </row>
    <row r="71" spans="2:16" x14ac:dyDescent="0.2">
      <c r="B71" s="7"/>
      <c r="C71" s="8"/>
      <c r="O71" s="20" t="s">
        <v>241</v>
      </c>
      <c r="P71" s="12" t="s">
        <v>264</v>
      </c>
    </row>
    <row r="72" spans="2:16" x14ac:dyDescent="0.2">
      <c r="B72" s="7"/>
      <c r="C72" s="8"/>
      <c r="O72" s="20" t="s">
        <v>242</v>
      </c>
      <c r="P72" s="12" t="s">
        <v>262</v>
      </c>
    </row>
    <row r="73" spans="2:16" x14ac:dyDescent="0.2">
      <c r="B73" s="7"/>
      <c r="C73" s="8"/>
      <c r="O73" s="20" t="s">
        <v>243</v>
      </c>
      <c r="P73" s="12" t="s">
        <v>273</v>
      </c>
    </row>
    <row r="74" spans="2:16" x14ac:dyDescent="0.2">
      <c r="B74" s="7"/>
      <c r="C74" s="8"/>
      <c r="O74" s="20" t="s">
        <v>244</v>
      </c>
      <c r="P74" s="12" t="s">
        <v>262</v>
      </c>
    </row>
    <row r="75" spans="2:16" x14ac:dyDescent="0.2">
      <c r="B75" s="7"/>
      <c r="C75" s="8"/>
      <c r="O75" s="20" t="s">
        <v>245</v>
      </c>
      <c r="P75" s="12" t="s">
        <v>273</v>
      </c>
    </row>
    <row r="76" spans="2:16" x14ac:dyDescent="0.2">
      <c r="B76" s="7"/>
      <c r="C76" s="8"/>
      <c r="O76" s="20" t="s">
        <v>246</v>
      </c>
      <c r="P76" s="12" t="s">
        <v>267</v>
      </c>
    </row>
    <row r="77" spans="2:16" x14ac:dyDescent="0.2">
      <c r="B77" s="7"/>
      <c r="C77" s="8"/>
      <c r="O77" s="20" t="s">
        <v>247</v>
      </c>
      <c r="P77" s="12" t="s">
        <v>265</v>
      </c>
    </row>
    <row r="78" spans="2:16" x14ac:dyDescent="0.2">
      <c r="B78" s="7"/>
      <c r="C78" s="8"/>
      <c r="O78" s="20" t="s">
        <v>248</v>
      </c>
      <c r="P78" s="12" t="s">
        <v>265</v>
      </c>
    </row>
    <row r="79" spans="2:16" x14ac:dyDescent="0.2">
      <c r="B79" s="7"/>
      <c r="C79" s="8"/>
      <c r="O79" s="20" t="s">
        <v>249</v>
      </c>
      <c r="P79" s="12" t="s">
        <v>265</v>
      </c>
    </row>
    <row r="80" spans="2:16" x14ac:dyDescent="0.2">
      <c r="B80" s="7"/>
      <c r="C80" s="8"/>
      <c r="O80" s="20" t="s">
        <v>250</v>
      </c>
      <c r="P80" s="12" t="s">
        <v>268</v>
      </c>
    </row>
    <row r="81" spans="2:16" x14ac:dyDescent="0.2">
      <c r="B81" s="7"/>
      <c r="C81" s="8"/>
      <c r="O81" s="20" t="s">
        <v>251</v>
      </c>
      <c r="P81" s="12" t="s">
        <v>272</v>
      </c>
    </row>
    <row r="82" spans="2:16" x14ac:dyDescent="0.2">
      <c r="B82" s="7"/>
      <c r="C82" s="8"/>
      <c r="O82" s="20" t="s">
        <v>252</v>
      </c>
      <c r="P82" s="12" t="s">
        <v>263</v>
      </c>
    </row>
    <row r="83" spans="2:16" x14ac:dyDescent="0.2">
      <c r="B83" s="7"/>
      <c r="C83" s="8"/>
      <c r="O83" s="20" t="s">
        <v>253</v>
      </c>
      <c r="P83" s="12" t="s">
        <v>266</v>
      </c>
    </row>
    <row r="84" spans="2:16" x14ac:dyDescent="0.2">
      <c r="B84" s="7"/>
      <c r="C84" s="8"/>
      <c r="O84" s="20" t="s">
        <v>254</v>
      </c>
      <c r="P84" s="12" t="s">
        <v>269</v>
      </c>
    </row>
    <row r="85" spans="2:16" x14ac:dyDescent="0.2">
      <c r="B85" s="7"/>
      <c r="C85" s="8"/>
      <c r="O85" s="20" t="s">
        <v>255</v>
      </c>
      <c r="P85" s="12" t="s">
        <v>266</v>
      </c>
    </row>
    <row r="86" spans="2:16" x14ac:dyDescent="0.2">
      <c r="B86" s="7"/>
      <c r="C86" s="8"/>
      <c r="O86" s="20" t="s">
        <v>256</v>
      </c>
      <c r="P86" s="12" t="s">
        <v>264</v>
      </c>
    </row>
    <row r="87" spans="2:16" x14ac:dyDescent="0.2">
      <c r="B87" s="7"/>
      <c r="C87" s="8"/>
      <c r="O87" s="20" t="s">
        <v>257</v>
      </c>
      <c r="P87" s="12" t="s">
        <v>273</v>
      </c>
    </row>
    <row r="88" spans="2:16" x14ac:dyDescent="0.2">
      <c r="B88" s="7"/>
      <c r="C88" s="8"/>
      <c r="O88" s="20" t="s">
        <v>258</v>
      </c>
      <c r="P88" s="12" t="s">
        <v>273</v>
      </c>
    </row>
    <row r="89" spans="2:16" x14ac:dyDescent="0.2">
      <c r="O89" s="20" t="s">
        <v>259</v>
      </c>
      <c r="P89" s="12" t="s">
        <v>263</v>
      </c>
    </row>
  </sheetData>
  <sheetProtection algorithmName="SHA-512" hashValue="HQbhhRelvZdmTQgqH1yIENd/+B3nkIp9DRCJrTuGwzA3GuifnOzGUPYZhdaa4XDXWOMg4nEvaQhlcZhnf9Vs3A==" saltValue="iP89R3rk+I00EKjsPhv3k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J29" sqref="J29"/>
    </sheetView>
  </sheetViews>
  <sheetFormatPr defaultRowHeight="12.75" x14ac:dyDescent="0.2"/>
  <cols>
    <col min="1" max="1" width="10.140625" bestFit="1" customWidth="1"/>
    <col min="3" max="3" width="15.28515625" customWidth="1"/>
  </cols>
  <sheetData>
    <row r="3" spans="1:3" x14ac:dyDescent="0.2">
      <c r="A3" s="161" t="s">
        <v>1629</v>
      </c>
      <c r="C3" s="161" t="s">
        <v>1630</v>
      </c>
    </row>
    <row r="4" spans="1:3" x14ac:dyDescent="0.2">
      <c r="A4" s="162">
        <v>2016</v>
      </c>
      <c r="C4" s="163">
        <v>42937</v>
      </c>
    </row>
    <row r="5" spans="1:3" x14ac:dyDescent="0.2">
      <c r="A5" s="162">
        <v>2019</v>
      </c>
      <c r="C5" s="164">
        <v>43028</v>
      </c>
    </row>
    <row r="6" spans="1:3" x14ac:dyDescent="0.2">
      <c r="A6" s="162">
        <v>2013</v>
      </c>
      <c r="C6" s="163">
        <v>43119</v>
      </c>
    </row>
    <row r="7" spans="1:3" x14ac:dyDescent="0.2">
      <c r="A7" s="162">
        <v>2015</v>
      </c>
      <c r="C7" s="163">
        <v>43210</v>
      </c>
    </row>
    <row r="8" spans="1:3" x14ac:dyDescent="0.2">
      <c r="C8" s="163">
        <v>43301</v>
      </c>
    </row>
    <row r="9" spans="1:3" x14ac:dyDescent="0.2">
      <c r="C9" s="163">
        <v>43392</v>
      </c>
    </row>
    <row r="10" spans="1:3" x14ac:dyDescent="0.2">
      <c r="C10" s="163">
        <v>43466</v>
      </c>
    </row>
    <row r="11" spans="1:3" x14ac:dyDescent="0.2">
      <c r="C11" s="163">
        <v>43483</v>
      </c>
    </row>
    <row r="12" spans="1:3" x14ac:dyDescent="0.2">
      <c r="C12" s="163">
        <v>43574</v>
      </c>
    </row>
    <row r="13" spans="1:3" x14ac:dyDescent="0.2">
      <c r="C13" s="163">
        <v>43665</v>
      </c>
    </row>
    <row r="14" spans="1:3" x14ac:dyDescent="0.2">
      <c r="C14" s="163">
        <v>43756</v>
      </c>
    </row>
    <row r="15" spans="1:3" x14ac:dyDescent="0.2">
      <c r="C15" s="163">
        <v>43847</v>
      </c>
    </row>
    <row r="16" spans="1:3" x14ac:dyDescent="0.2">
      <c r="C16" s="163">
        <v>43938</v>
      </c>
    </row>
    <row r="17" spans="3:3" x14ac:dyDescent="0.2">
      <c r="C17" s="163">
        <v>44029</v>
      </c>
    </row>
    <row r="18" spans="3:3" x14ac:dyDescent="0.2">
      <c r="C18" s="163">
        <v>44120</v>
      </c>
    </row>
  </sheetData>
  <sheetProtection algorithmName="SHA-512" hashValue="BKc7TcTfdq9FrvgnsPBK4UzhMWBo4T5GxceIiGE+xfU1HhrZXTKVmP5Q3cW3Qpv5vNykmRtXvZl2hUhQ8CStXw==" saltValue="D9RCBbSNpvUWgE38Nux8Y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24"/>
  <sheetViews>
    <sheetView zoomScale="90" zoomScaleNormal="90" workbookViewId="0">
      <selection activeCell="J29" sqref="J29"/>
    </sheetView>
  </sheetViews>
  <sheetFormatPr defaultColWidth="8.85546875" defaultRowHeight="12.75" x14ac:dyDescent="0.2"/>
  <cols>
    <col min="1" max="1" width="14.140625" style="4" customWidth="1"/>
    <col min="2" max="2" width="102.5703125" style="4" customWidth="1"/>
    <col min="3" max="3" width="116.85546875" style="3" bestFit="1" customWidth="1"/>
    <col min="4" max="16384" width="8.85546875" style="3"/>
  </cols>
  <sheetData>
    <row r="1" spans="1:3" ht="15" x14ac:dyDescent="0.2">
      <c r="A1" s="1" t="s">
        <v>51</v>
      </c>
      <c r="B1" s="1" t="s">
        <v>52</v>
      </c>
      <c r="C1" s="2" t="s">
        <v>49</v>
      </c>
    </row>
    <row r="2" spans="1:3" x14ac:dyDescent="0.2">
      <c r="A2" s="4" t="s">
        <v>53</v>
      </c>
      <c r="B2" s="4" t="s">
        <v>54</v>
      </c>
      <c r="C2" s="47" t="str">
        <f>A2&amp;" - "&amp;B2</f>
        <v>421E10010 - MICROSURFACING, SURFACE COURSE</v>
      </c>
    </row>
    <row r="3" spans="1:3" x14ac:dyDescent="0.2">
      <c r="A3" s="4" t="s">
        <v>55</v>
      </c>
      <c r="B3" s="4" t="s">
        <v>56</v>
      </c>
      <c r="C3" s="47" t="str">
        <f>A3&amp;" - "&amp;B3</f>
        <v>421E10011 - MICROSURFACING, SURFACE COURSE, AS PER PLAN</v>
      </c>
    </row>
    <row r="4" spans="1:3" x14ac:dyDescent="0.2">
      <c r="A4" s="4" t="s">
        <v>57</v>
      </c>
      <c r="B4" s="4" t="s">
        <v>58</v>
      </c>
      <c r="C4" s="47" t="str">
        <f>A4&amp;" - "&amp;B4</f>
        <v>421E10020 - MICROSURFACING, LEVELING COURSE</v>
      </c>
    </row>
    <row r="5" spans="1:3" x14ac:dyDescent="0.2">
      <c r="A5" s="4" t="s">
        <v>59</v>
      </c>
      <c r="B5" s="4" t="s">
        <v>60</v>
      </c>
      <c r="C5" s="47" t="str">
        <f>A5&amp;" - "&amp;B5</f>
        <v>421E10021 - MICROSURFACING, LEVELING COURSE, AS PER PLAN</v>
      </c>
    </row>
    <row r="6" spans="1:3" x14ac:dyDescent="0.2">
      <c r="A6" s="4" t="s">
        <v>61</v>
      </c>
      <c r="B6" s="4" t="s">
        <v>62</v>
      </c>
      <c r="C6" s="47" t="str">
        <f>A6&amp;" - "&amp;B6</f>
        <v>421E10030 - MICROSURFACING, RUT FILL COURSE</v>
      </c>
    </row>
    <row r="7" spans="1:3" x14ac:dyDescent="0.2">
      <c r="A7" s="4" t="s">
        <v>63</v>
      </c>
      <c r="B7" s="4" t="s">
        <v>64</v>
      </c>
      <c r="C7" s="47" t="str">
        <f t="shared" ref="C7:C10" si="0">A7&amp;" - "&amp;B7</f>
        <v>881E10000 - MICROSURFACING WITH WARRANTY, SINGLE COURSE</v>
      </c>
    </row>
    <row r="8" spans="1:3" x14ac:dyDescent="0.2">
      <c r="A8" s="4" t="s">
        <v>65</v>
      </c>
      <c r="B8" s="4" t="s">
        <v>66</v>
      </c>
      <c r="C8" s="47" t="str">
        <f t="shared" si="0"/>
        <v>881E10001 - MICROSURFACING WITH WARRANTY, SINGLE COURSE, AS PER PLAN</v>
      </c>
    </row>
    <row r="9" spans="1:3" x14ac:dyDescent="0.2">
      <c r="A9" s="4" t="s">
        <v>67</v>
      </c>
      <c r="B9" s="4" t="s">
        <v>68</v>
      </c>
      <c r="C9" s="47" t="str">
        <f t="shared" si="0"/>
        <v>881E20000 - MICROSURFACING WITH WARRANTY, MULTIPLE COURSE</v>
      </c>
    </row>
    <row r="10" spans="1:3" x14ac:dyDescent="0.2">
      <c r="A10" s="4" t="s">
        <v>69</v>
      </c>
      <c r="B10" s="4" t="s">
        <v>70</v>
      </c>
      <c r="C10" s="47" t="str">
        <f t="shared" si="0"/>
        <v>881E20001 - MICROSURFACING WITH WARRANTY, MULTIPLE COURSE, AS PER PLAN</v>
      </c>
    </row>
    <row r="20" spans="2:2" x14ac:dyDescent="0.2">
      <c r="B20" s="179" t="s">
        <v>1622</v>
      </c>
    </row>
    <row r="21" spans="2:2" x14ac:dyDescent="0.2">
      <c r="B21" s="179" t="s">
        <v>1635</v>
      </c>
    </row>
    <row r="22" spans="2:2" x14ac:dyDescent="0.2">
      <c r="B22" s="179" t="s">
        <v>1636</v>
      </c>
    </row>
    <row r="23" spans="2:2" x14ac:dyDescent="0.2">
      <c r="B23" s="179" t="s">
        <v>1637</v>
      </c>
    </row>
    <row r="24" spans="2:2" x14ac:dyDescent="0.2">
      <c r="B24" s="179" t="s">
        <v>1638</v>
      </c>
    </row>
  </sheetData>
  <sheetProtection algorithmName="SHA-512" hashValue="Orii3OR0JzyKArS2PGs9/OuscC4uZ+cImCwRkzu8iLn38Lzsm+bqeo8bmB8Tzbc9fNWsroXAyM73fEdbOw2IEA==" saltValue="9EUhrttFYdYV3nL3y5NIrw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6"/>
  <sheetViews>
    <sheetView workbookViewId="0">
      <selection activeCell="A6" sqref="A6"/>
    </sheetView>
  </sheetViews>
  <sheetFormatPr defaultColWidth="8.85546875" defaultRowHeight="15" x14ac:dyDescent="0.2"/>
  <cols>
    <col min="1" max="1" width="38.5703125" style="42" bestFit="1" customWidth="1"/>
    <col min="2" max="2" width="13.5703125" style="42" bestFit="1" customWidth="1"/>
    <col min="3" max="16384" width="8.85546875" style="42"/>
  </cols>
  <sheetData>
    <row r="1" spans="1:2" x14ac:dyDescent="0.2">
      <c r="A1" s="38" t="s">
        <v>74</v>
      </c>
      <c r="B1" s="38" t="s">
        <v>75</v>
      </c>
    </row>
    <row r="2" spans="1:2" x14ac:dyDescent="0.2">
      <c r="A2" s="117" t="s">
        <v>1548</v>
      </c>
      <c r="B2" s="117" t="s">
        <v>1550</v>
      </c>
    </row>
    <row r="3" spans="1:2" x14ac:dyDescent="0.2">
      <c r="A3" s="147" t="s">
        <v>1596</v>
      </c>
      <c r="B3" s="165" t="s">
        <v>1631</v>
      </c>
    </row>
    <row r="4" spans="1:2" x14ac:dyDescent="0.2">
      <c r="A4" s="147" t="s">
        <v>1594</v>
      </c>
      <c r="B4" s="147" t="s">
        <v>1597</v>
      </c>
    </row>
    <row r="5" spans="1:2" x14ac:dyDescent="0.2">
      <c r="A5" s="187" t="s">
        <v>1683</v>
      </c>
      <c r="B5" s="187" t="s">
        <v>1684</v>
      </c>
    </row>
    <row r="6" spans="1:2" x14ac:dyDescent="0.2">
      <c r="A6" s="147" t="s">
        <v>1595</v>
      </c>
      <c r="B6" s="117" t="s">
        <v>1549</v>
      </c>
    </row>
  </sheetData>
  <sheetProtection algorithmName="SHA-512" hashValue="WZVGsOdBLC/cr/Ftoz1q6C+BvoICUhS/8DN4ExSPP0vpJJZYV8+EaBBSqzKzvH6kB+JX4uPKjsHa4L2CSLGuDw==" saltValue="NBb+gIUtZmMzp4BpwzFhjA==" spinCount="100000" sheet="1" objects="1" scenarios="1"/>
  <sortState ref="A2:B6">
    <sortCondition ref="A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B42"/>
  <sheetViews>
    <sheetView workbookViewId="0">
      <selection activeCell="J29" sqref="J29"/>
    </sheetView>
  </sheetViews>
  <sheetFormatPr defaultColWidth="8.85546875" defaultRowHeight="15" x14ac:dyDescent="0.25"/>
  <cols>
    <col min="1" max="1" width="53.42578125" style="42" bestFit="1" customWidth="1"/>
    <col min="2" max="2" width="13.5703125" style="42" bestFit="1" customWidth="1"/>
    <col min="3" max="16384" width="8.85546875" style="43"/>
  </cols>
  <sheetData>
    <row r="1" spans="1:2" x14ac:dyDescent="0.25">
      <c r="A1" s="38" t="s">
        <v>74</v>
      </c>
      <c r="B1" s="38" t="s">
        <v>75</v>
      </c>
    </row>
    <row r="2" spans="1:2" x14ac:dyDescent="0.25">
      <c r="A2" s="41" t="s">
        <v>76</v>
      </c>
      <c r="B2" s="41" t="s">
        <v>77</v>
      </c>
    </row>
    <row r="3" spans="1:2" x14ac:dyDescent="0.25">
      <c r="A3" s="41" t="s">
        <v>78</v>
      </c>
      <c r="B3" s="41" t="s">
        <v>79</v>
      </c>
    </row>
    <row r="4" spans="1:2" x14ac:dyDescent="0.25">
      <c r="A4" s="41" t="s">
        <v>80</v>
      </c>
      <c r="B4" s="41" t="s">
        <v>81</v>
      </c>
    </row>
    <row r="5" spans="1:2" x14ac:dyDescent="0.25">
      <c r="A5" s="41" t="s">
        <v>82</v>
      </c>
      <c r="B5" s="41" t="s">
        <v>83</v>
      </c>
    </row>
    <row r="6" spans="1:2" x14ac:dyDescent="0.25">
      <c r="A6" s="41" t="s">
        <v>84</v>
      </c>
      <c r="B6" s="41" t="s">
        <v>85</v>
      </c>
    </row>
    <row r="7" spans="1:2" x14ac:dyDescent="0.25">
      <c r="A7" s="41" t="s">
        <v>86</v>
      </c>
      <c r="B7" s="41" t="s">
        <v>87</v>
      </c>
    </row>
    <row r="8" spans="1:2" x14ac:dyDescent="0.25">
      <c r="A8" s="41" t="s">
        <v>88</v>
      </c>
      <c r="B8" s="41" t="s">
        <v>89</v>
      </c>
    </row>
    <row r="9" spans="1:2" x14ac:dyDescent="0.25">
      <c r="A9" s="41" t="s">
        <v>90</v>
      </c>
      <c r="B9" s="41" t="s">
        <v>91</v>
      </c>
    </row>
    <row r="10" spans="1:2" x14ac:dyDescent="0.25">
      <c r="A10" s="41" t="s">
        <v>92</v>
      </c>
      <c r="B10" s="41" t="s">
        <v>93</v>
      </c>
    </row>
    <row r="11" spans="1:2" x14ac:dyDescent="0.25">
      <c r="A11" s="41" t="s">
        <v>94</v>
      </c>
      <c r="B11" s="41" t="s">
        <v>95</v>
      </c>
    </row>
    <row r="12" spans="1:2" x14ac:dyDescent="0.25">
      <c r="A12" s="41" t="s">
        <v>96</v>
      </c>
      <c r="B12" s="41" t="s">
        <v>97</v>
      </c>
    </row>
    <row r="13" spans="1:2" x14ac:dyDescent="0.25">
      <c r="A13" s="41" t="s">
        <v>98</v>
      </c>
      <c r="B13" s="41" t="s">
        <v>99</v>
      </c>
    </row>
    <row r="14" spans="1:2" x14ac:dyDescent="0.25">
      <c r="A14" s="41" t="s">
        <v>100</v>
      </c>
      <c r="B14" s="41" t="s">
        <v>101</v>
      </c>
    </row>
    <row r="15" spans="1:2" x14ac:dyDescent="0.25">
      <c r="A15" s="41" t="s">
        <v>102</v>
      </c>
      <c r="B15" s="41" t="s">
        <v>103</v>
      </c>
    </row>
    <row r="16" spans="1:2" x14ac:dyDescent="0.25">
      <c r="A16" s="41" t="s">
        <v>104</v>
      </c>
      <c r="B16" s="41" t="s">
        <v>105</v>
      </c>
    </row>
    <row r="17" spans="1:2" x14ac:dyDescent="0.25">
      <c r="A17" s="41" t="s">
        <v>106</v>
      </c>
      <c r="B17" s="41" t="s">
        <v>107</v>
      </c>
    </row>
    <row r="18" spans="1:2" x14ac:dyDescent="0.25">
      <c r="A18" s="41" t="s">
        <v>108</v>
      </c>
      <c r="B18" s="41" t="s">
        <v>109</v>
      </c>
    </row>
    <row r="19" spans="1:2" x14ac:dyDescent="0.25">
      <c r="A19" s="41" t="s">
        <v>110</v>
      </c>
      <c r="B19" s="41" t="s">
        <v>111</v>
      </c>
    </row>
    <row r="20" spans="1:2" x14ac:dyDescent="0.25">
      <c r="A20" s="41" t="s">
        <v>112</v>
      </c>
      <c r="B20" s="41" t="s">
        <v>113</v>
      </c>
    </row>
    <row r="21" spans="1:2" x14ac:dyDescent="0.25">
      <c r="A21" s="41" t="s">
        <v>114</v>
      </c>
      <c r="B21" s="41" t="s">
        <v>115</v>
      </c>
    </row>
    <row r="22" spans="1:2" x14ac:dyDescent="0.25">
      <c r="A22" s="41" t="s">
        <v>116</v>
      </c>
      <c r="B22" s="41" t="s">
        <v>117</v>
      </c>
    </row>
    <row r="23" spans="1:2" x14ac:dyDescent="0.25">
      <c r="A23" s="41" t="s">
        <v>118</v>
      </c>
      <c r="B23" s="41" t="s">
        <v>119</v>
      </c>
    </row>
    <row r="24" spans="1:2" x14ac:dyDescent="0.25">
      <c r="A24" s="41" t="s">
        <v>120</v>
      </c>
      <c r="B24" s="41" t="s">
        <v>121</v>
      </c>
    </row>
    <row r="25" spans="1:2" x14ac:dyDescent="0.25">
      <c r="A25" s="41" t="s">
        <v>122</v>
      </c>
      <c r="B25" s="41" t="s">
        <v>123</v>
      </c>
    </row>
    <row r="26" spans="1:2" x14ac:dyDescent="0.25">
      <c r="A26" s="41" t="s">
        <v>124</v>
      </c>
      <c r="B26" s="41" t="s">
        <v>125</v>
      </c>
    </row>
    <row r="27" spans="1:2" x14ac:dyDescent="0.25">
      <c r="A27" s="41" t="s">
        <v>126</v>
      </c>
      <c r="B27" s="41" t="s">
        <v>127</v>
      </c>
    </row>
    <row r="28" spans="1:2" x14ac:dyDescent="0.25">
      <c r="A28" s="41" t="s">
        <v>128</v>
      </c>
      <c r="B28" s="41" t="s">
        <v>129</v>
      </c>
    </row>
    <row r="29" spans="1:2" x14ac:dyDescent="0.25">
      <c r="A29" s="41" t="s">
        <v>130</v>
      </c>
      <c r="B29" s="41" t="s">
        <v>131</v>
      </c>
    </row>
    <row r="30" spans="1:2" x14ac:dyDescent="0.25">
      <c r="A30" s="41" t="s">
        <v>132</v>
      </c>
      <c r="B30" s="41" t="s">
        <v>133</v>
      </c>
    </row>
    <row r="31" spans="1:2" x14ac:dyDescent="0.25">
      <c r="A31" s="41" t="s">
        <v>134</v>
      </c>
      <c r="B31" s="41" t="s">
        <v>135</v>
      </c>
    </row>
    <row r="32" spans="1:2" x14ac:dyDescent="0.25">
      <c r="A32" s="41" t="s">
        <v>136</v>
      </c>
      <c r="B32" s="41" t="s">
        <v>137</v>
      </c>
    </row>
    <row r="33" spans="1:2" x14ac:dyDescent="0.25">
      <c r="A33" s="41" t="s">
        <v>138</v>
      </c>
      <c r="B33" s="41" t="s">
        <v>139</v>
      </c>
    </row>
    <row r="34" spans="1:2" x14ac:dyDescent="0.25">
      <c r="A34" s="41" t="s">
        <v>140</v>
      </c>
      <c r="B34" s="41" t="s">
        <v>141</v>
      </c>
    </row>
    <row r="35" spans="1:2" x14ac:dyDescent="0.25">
      <c r="A35" s="41" t="s">
        <v>142</v>
      </c>
      <c r="B35" s="41" t="s">
        <v>143</v>
      </c>
    </row>
    <row r="36" spans="1:2" x14ac:dyDescent="0.25">
      <c r="A36" s="41" t="s">
        <v>144</v>
      </c>
      <c r="B36" s="41" t="s">
        <v>145</v>
      </c>
    </row>
    <row r="37" spans="1:2" x14ac:dyDescent="0.25">
      <c r="A37" s="41" t="s">
        <v>146</v>
      </c>
      <c r="B37" s="41" t="s">
        <v>147</v>
      </c>
    </row>
    <row r="38" spans="1:2" x14ac:dyDescent="0.25">
      <c r="A38" s="41" t="s">
        <v>148</v>
      </c>
      <c r="B38" s="41" t="s">
        <v>149</v>
      </c>
    </row>
    <row r="39" spans="1:2" x14ac:dyDescent="0.25">
      <c r="A39" s="41" t="s">
        <v>150</v>
      </c>
      <c r="B39" s="41" t="s">
        <v>151</v>
      </c>
    </row>
    <row r="40" spans="1:2" x14ac:dyDescent="0.25">
      <c r="A40" s="41" t="s">
        <v>152</v>
      </c>
      <c r="B40" s="41" t="s">
        <v>153</v>
      </c>
    </row>
    <row r="41" spans="1:2" x14ac:dyDescent="0.25">
      <c r="A41" s="41" t="s">
        <v>154</v>
      </c>
      <c r="B41" s="41" t="s">
        <v>155</v>
      </c>
    </row>
    <row r="42" spans="1:2" x14ac:dyDescent="0.25">
      <c r="A42" s="41" t="s">
        <v>156</v>
      </c>
      <c r="B42" s="41" t="s">
        <v>157</v>
      </c>
    </row>
  </sheetData>
  <sheetProtection algorithmName="SHA-512" hashValue="Vi+wLTWPRth4Gx9NmIul/5ZZyQN0D0CeQPO5wM4UZIovVe2pFeVdMy2KARRL2qYadST+9JDyjQWkvcLbNFqk4Q==" saltValue="Bchkb8SI8US6ZD5/QN9p6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446"/>
  <sheetViews>
    <sheetView topLeftCell="A405" zoomScale="80" zoomScaleNormal="80" workbookViewId="0">
      <selection activeCell="J29" sqref="J29"/>
    </sheetView>
  </sheetViews>
  <sheetFormatPr defaultColWidth="8.85546875" defaultRowHeight="12.75" x14ac:dyDescent="0.2"/>
  <cols>
    <col min="1" max="1" width="61.85546875" style="7" bestFit="1" customWidth="1"/>
    <col min="2" max="2" width="15.85546875" style="7" customWidth="1"/>
    <col min="3" max="16384" width="8.85546875" style="7"/>
  </cols>
  <sheetData>
    <row r="1" spans="1:2" x14ac:dyDescent="0.2">
      <c r="A1" s="21" t="s">
        <v>74</v>
      </c>
      <c r="B1" s="21" t="s">
        <v>75</v>
      </c>
    </row>
    <row r="2" spans="1:2" x14ac:dyDescent="0.2">
      <c r="A2" s="12" t="s">
        <v>276</v>
      </c>
      <c r="B2" s="12" t="s">
        <v>277</v>
      </c>
    </row>
    <row r="3" spans="1:2" x14ac:dyDescent="0.2">
      <c r="A3" s="12" t="s">
        <v>1071</v>
      </c>
      <c r="B3" s="12" t="s">
        <v>980</v>
      </c>
    </row>
    <row r="4" spans="1:2" x14ac:dyDescent="0.2">
      <c r="A4" s="12" t="s">
        <v>278</v>
      </c>
      <c r="B4" s="12" t="s">
        <v>279</v>
      </c>
    </row>
    <row r="5" spans="1:2" x14ac:dyDescent="0.2">
      <c r="A5" s="12" t="s">
        <v>280</v>
      </c>
      <c r="B5" s="12" t="s">
        <v>281</v>
      </c>
    </row>
    <row r="6" spans="1:2" x14ac:dyDescent="0.2">
      <c r="A6" s="12" t="s">
        <v>282</v>
      </c>
      <c r="B6" s="12" t="s">
        <v>283</v>
      </c>
    </row>
    <row r="7" spans="1:2" x14ac:dyDescent="0.2">
      <c r="A7" s="12" t="s">
        <v>284</v>
      </c>
      <c r="B7" s="12" t="s">
        <v>285</v>
      </c>
    </row>
    <row r="8" spans="1:2" x14ac:dyDescent="0.2">
      <c r="A8" s="12" t="s">
        <v>286</v>
      </c>
      <c r="B8" s="12" t="s">
        <v>287</v>
      </c>
    </row>
    <row r="9" spans="1:2" x14ac:dyDescent="0.2">
      <c r="A9" s="12" t="s">
        <v>288</v>
      </c>
      <c r="B9" s="12" t="s">
        <v>289</v>
      </c>
    </row>
    <row r="10" spans="1:2" x14ac:dyDescent="0.2">
      <c r="A10" s="12" t="s">
        <v>290</v>
      </c>
      <c r="B10" s="12" t="s">
        <v>38</v>
      </c>
    </row>
    <row r="11" spans="1:2" x14ac:dyDescent="0.2">
      <c r="A11" s="12" t="s">
        <v>291</v>
      </c>
      <c r="B11" s="12" t="s">
        <v>292</v>
      </c>
    </row>
    <row r="12" spans="1:2" x14ac:dyDescent="0.2">
      <c r="A12" s="12" t="s">
        <v>293</v>
      </c>
      <c r="B12" s="12" t="s">
        <v>294</v>
      </c>
    </row>
    <row r="13" spans="1:2" x14ac:dyDescent="0.2">
      <c r="A13" s="12" t="s">
        <v>295</v>
      </c>
      <c r="B13" s="12" t="s">
        <v>296</v>
      </c>
    </row>
    <row r="14" spans="1:2" x14ac:dyDescent="0.2">
      <c r="A14" s="12" t="s">
        <v>297</v>
      </c>
      <c r="B14" s="12" t="s">
        <v>298</v>
      </c>
    </row>
    <row r="15" spans="1:2" x14ac:dyDescent="0.2">
      <c r="A15" s="12" t="s">
        <v>299</v>
      </c>
      <c r="B15" s="12" t="s">
        <v>300</v>
      </c>
    </row>
    <row r="16" spans="1:2" x14ac:dyDescent="0.2">
      <c r="A16" s="12" t="s">
        <v>1072</v>
      </c>
      <c r="B16" s="12" t="s">
        <v>981</v>
      </c>
    </row>
    <row r="17" spans="1:2" x14ac:dyDescent="0.2">
      <c r="A17" s="12" t="s">
        <v>1073</v>
      </c>
      <c r="B17" s="12" t="s">
        <v>982</v>
      </c>
    </row>
    <row r="18" spans="1:2" x14ac:dyDescent="0.2">
      <c r="A18" s="12" t="s">
        <v>301</v>
      </c>
      <c r="B18" s="12" t="s">
        <v>302</v>
      </c>
    </row>
    <row r="19" spans="1:2" x14ac:dyDescent="0.2">
      <c r="A19" s="12" t="s">
        <v>303</v>
      </c>
      <c r="B19" s="12" t="s">
        <v>304</v>
      </c>
    </row>
    <row r="20" spans="1:2" x14ac:dyDescent="0.2">
      <c r="A20" s="12" t="s">
        <v>305</v>
      </c>
      <c r="B20" s="12" t="s">
        <v>306</v>
      </c>
    </row>
    <row r="21" spans="1:2" x14ac:dyDescent="0.2">
      <c r="A21" s="12" t="s">
        <v>1074</v>
      </c>
      <c r="B21" s="12" t="s">
        <v>983</v>
      </c>
    </row>
    <row r="22" spans="1:2" x14ac:dyDescent="0.2">
      <c r="A22" s="12" t="s">
        <v>1075</v>
      </c>
      <c r="B22" s="12" t="s">
        <v>984</v>
      </c>
    </row>
    <row r="23" spans="1:2" x14ac:dyDescent="0.2">
      <c r="A23" s="12" t="s">
        <v>307</v>
      </c>
      <c r="B23" s="12" t="s">
        <v>308</v>
      </c>
    </row>
    <row r="24" spans="1:2" x14ac:dyDescent="0.2">
      <c r="A24" s="12" t="s">
        <v>309</v>
      </c>
      <c r="B24" s="12" t="s">
        <v>310</v>
      </c>
    </row>
    <row r="25" spans="1:2" x14ac:dyDescent="0.2">
      <c r="A25" s="12" t="s">
        <v>1076</v>
      </c>
      <c r="B25" s="12" t="s">
        <v>985</v>
      </c>
    </row>
    <row r="26" spans="1:2" x14ac:dyDescent="0.2">
      <c r="A26" s="12" t="s">
        <v>1077</v>
      </c>
      <c r="B26" s="12" t="s">
        <v>986</v>
      </c>
    </row>
    <row r="27" spans="1:2" x14ac:dyDescent="0.2">
      <c r="A27" s="12" t="s">
        <v>311</v>
      </c>
      <c r="B27" s="12" t="s">
        <v>312</v>
      </c>
    </row>
    <row r="28" spans="1:2" x14ac:dyDescent="0.2">
      <c r="A28" s="12" t="s">
        <v>1078</v>
      </c>
      <c r="B28" s="12" t="s">
        <v>313</v>
      </c>
    </row>
    <row r="29" spans="1:2" x14ac:dyDescent="0.2">
      <c r="A29" s="12" t="s">
        <v>1079</v>
      </c>
      <c r="B29" s="12" t="s">
        <v>314</v>
      </c>
    </row>
    <row r="30" spans="1:2" x14ac:dyDescent="0.2">
      <c r="A30" s="12" t="s">
        <v>315</v>
      </c>
      <c r="B30" s="12" t="s">
        <v>316</v>
      </c>
    </row>
    <row r="31" spans="1:2" x14ac:dyDescent="0.2">
      <c r="A31" s="12" t="s">
        <v>317</v>
      </c>
      <c r="B31" s="12" t="s">
        <v>318</v>
      </c>
    </row>
    <row r="32" spans="1:2" x14ac:dyDescent="0.2">
      <c r="A32" s="12" t="s">
        <v>319</v>
      </c>
      <c r="B32" s="12" t="s">
        <v>320</v>
      </c>
    </row>
    <row r="33" spans="1:2" x14ac:dyDescent="0.2">
      <c r="A33" s="12" t="s">
        <v>321</v>
      </c>
      <c r="B33" s="12" t="s">
        <v>322</v>
      </c>
    </row>
    <row r="34" spans="1:2" x14ac:dyDescent="0.2">
      <c r="A34" s="12" t="s">
        <v>323</v>
      </c>
      <c r="B34" s="12" t="s">
        <v>324</v>
      </c>
    </row>
    <row r="35" spans="1:2" x14ac:dyDescent="0.2">
      <c r="A35" s="12" t="s">
        <v>325</v>
      </c>
      <c r="B35" s="12" t="s">
        <v>326</v>
      </c>
    </row>
    <row r="36" spans="1:2" x14ac:dyDescent="0.2">
      <c r="A36" s="12" t="s">
        <v>327</v>
      </c>
      <c r="B36" s="12" t="s">
        <v>328</v>
      </c>
    </row>
    <row r="37" spans="1:2" x14ac:dyDescent="0.2">
      <c r="A37" s="12" t="s">
        <v>329</v>
      </c>
      <c r="B37" s="12" t="s">
        <v>330</v>
      </c>
    </row>
    <row r="38" spans="1:2" x14ac:dyDescent="0.2">
      <c r="A38" s="12" t="s">
        <v>331</v>
      </c>
      <c r="B38" s="12" t="s">
        <v>332</v>
      </c>
    </row>
    <row r="39" spans="1:2" x14ac:dyDescent="0.2">
      <c r="A39" s="12" t="s">
        <v>1080</v>
      </c>
      <c r="B39" s="12" t="s">
        <v>987</v>
      </c>
    </row>
    <row r="40" spans="1:2" x14ac:dyDescent="0.2">
      <c r="A40" s="12" t="s">
        <v>333</v>
      </c>
      <c r="B40" s="12" t="s">
        <v>334</v>
      </c>
    </row>
    <row r="41" spans="1:2" x14ac:dyDescent="0.2">
      <c r="A41" s="12" t="s">
        <v>335</v>
      </c>
      <c r="B41" s="12" t="s">
        <v>336</v>
      </c>
    </row>
    <row r="42" spans="1:2" x14ac:dyDescent="0.2">
      <c r="A42" s="12" t="s">
        <v>339</v>
      </c>
      <c r="B42" s="12" t="s">
        <v>340</v>
      </c>
    </row>
    <row r="43" spans="1:2" x14ac:dyDescent="0.2">
      <c r="A43" s="12" t="s">
        <v>337</v>
      </c>
      <c r="B43" s="12" t="s">
        <v>338</v>
      </c>
    </row>
    <row r="44" spans="1:2" x14ac:dyDescent="0.2">
      <c r="A44" s="12" t="s">
        <v>1081</v>
      </c>
      <c r="B44" s="12" t="s">
        <v>988</v>
      </c>
    </row>
    <row r="45" spans="1:2" x14ac:dyDescent="0.2">
      <c r="A45" s="12" t="s">
        <v>341</v>
      </c>
      <c r="B45" s="12" t="s">
        <v>342</v>
      </c>
    </row>
    <row r="46" spans="1:2" x14ac:dyDescent="0.2">
      <c r="A46" s="12" t="s">
        <v>343</v>
      </c>
      <c r="B46" s="12" t="s">
        <v>344</v>
      </c>
    </row>
    <row r="47" spans="1:2" x14ac:dyDescent="0.2">
      <c r="A47" s="12" t="s">
        <v>345</v>
      </c>
      <c r="B47" s="12" t="s">
        <v>346</v>
      </c>
    </row>
    <row r="48" spans="1:2" x14ac:dyDescent="0.2">
      <c r="A48" s="12" t="s">
        <v>1082</v>
      </c>
      <c r="B48" s="12" t="s">
        <v>989</v>
      </c>
    </row>
    <row r="49" spans="1:2" x14ac:dyDescent="0.2">
      <c r="A49" s="12" t="s">
        <v>347</v>
      </c>
      <c r="B49" s="12" t="s">
        <v>348</v>
      </c>
    </row>
    <row r="50" spans="1:2" x14ac:dyDescent="0.2">
      <c r="A50" s="12" t="s">
        <v>349</v>
      </c>
      <c r="B50" s="12" t="s">
        <v>350</v>
      </c>
    </row>
    <row r="51" spans="1:2" x14ac:dyDescent="0.2">
      <c r="A51" s="12" t="s">
        <v>1083</v>
      </c>
      <c r="B51" s="12" t="s">
        <v>990</v>
      </c>
    </row>
    <row r="52" spans="1:2" x14ac:dyDescent="0.2">
      <c r="A52" s="12" t="s">
        <v>351</v>
      </c>
      <c r="B52" s="12" t="s">
        <v>352</v>
      </c>
    </row>
    <row r="53" spans="1:2" x14ac:dyDescent="0.2">
      <c r="A53" s="12" t="s">
        <v>1084</v>
      </c>
      <c r="B53" s="12" t="s">
        <v>991</v>
      </c>
    </row>
    <row r="54" spans="1:2" x14ac:dyDescent="0.2">
      <c r="A54" s="12" t="s">
        <v>1085</v>
      </c>
      <c r="B54" s="12" t="s">
        <v>992</v>
      </c>
    </row>
    <row r="55" spans="1:2" x14ac:dyDescent="0.2">
      <c r="A55" s="12" t="s">
        <v>353</v>
      </c>
      <c r="B55" s="12" t="s">
        <v>354</v>
      </c>
    </row>
    <row r="56" spans="1:2" x14ac:dyDescent="0.2">
      <c r="A56" s="12" t="s">
        <v>355</v>
      </c>
      <c r="B56" s="12" t="s">
        <v>356</v>
      </c>
    </row>
    <row r="57" spans="1:2" x14ac:dyDescent="0.2">
      <c r="A57" s="12" t="s">
        <v>357</v>
      </c>
      <c r="B57" s="12" t="s">
        <v>358</v>
      </c>
    </row>
    <row r="58" spans="1:2" x14ac:dyDescent="0.2">
      <c r="A58" s="12" t="s">
        <v>1086</v>
      </c>
      <c r="B58" s="12" t="s">
        <v>993</v>
      </c>
    </row>
    <row r="59" spans="1:2" x14ac:dyDescent="0.2">
      <c r="A59" s="12" t="s">
        <v>1087</v>
      </c>
      <c r="B59" s="12" t="s">
        <v>994</v>
      </c>
    </row>
    <row r="60" spans="1:2" x14ac:dyDescent="0.2">
      <c r="A60" s="12" t="s">
        <v>1088</v>
      </c>
      <c r="B60" s="12" t="s">
        <v>995</v>
      </c>
    </row>
    <row r="61" spans="1:2" x14ac:dyDescent="0.2">
      <c r="A61" s="12" t="s">
        <v>1089</v>
      </c>
      <c r="B61" s="12" t="s">
        <v>996</v>
      </c>
    </row>
    <row r="62" spans="1:2" x14ac:dyDescent="0.2">
      <c r="A62" s="12" t="s">
        <v>1090</v>
      </c>
      <c r="B62" s="12" t="s">
        <v>997</v>
      </c>
    </row>
    <row r="63" spans="1:2" x14ac:dyDescent="0.2">
      <c r="A63" s="12" t="s">
        <v>1091</v>
      </c>
      <c r="B63" s="12" t="s">
        <v>998</v>
      </c>
    </row>
    <row r="64" spans="1:2" x14ac:dyDescent="0.2">
      <c r="A64" s="12" t="s">
        <v>1092</v>
      </c>
      <c r="B64" s="12" t="s">
        <v>999</v>
      </c>
    </row>
    <row r="65" spans="1:2" x14ac:dyDescent="0.2">
      <c r="A65" s="12" t="s">
        <v>1093</v>
      </c>
      <c r="B65" s="12" t="s">
        <v>1000</v>
      </c>
    </row>
    <row r="66" spans="1:2" x14ac:dyDescent="0.2">
      <c r="A66" s="12" t="s">
        <v>1094</v>
      </c>
      <c r="B66" s="12" t="s">
        <v>1001</v>
      </c>
    </row>
    <row r="67" spans="1:2" x14ac:dyDescent="0.2">
      <c r="A67" s="12" t="s">
        <v>1095</v>
      </c>
      <c r="B67" s="12" t="s">
        <v>1002</v>
      </c>
    </row>
    <row r="68" spans="1:2" x14ac:dyDescent="0.2">
      <c r="A68" s="12" t="s">
        <v>359</v>
      </c>
      <c r="B68" s="12" t="s">
        <v>360</v>
      </c>
    </row>
    <row r="69" spans="1:2" x14ac:dyDescent="0.2">
      <c r="A69" s="12" t="s">
        <v>1096</v>
      </c>
      <c r="B69" s="12" t="s">
        <v>1003</v>
      </c>
    </row>
    <row r="70" spans="1:2" x14ac:dyDescent="0.2">
      <c r="A70" s="12" t="s">
        <v>1097</v>
      </c>
      <c r="B70" s="12" t="s">
        <v>395</v>
      </c>
    </row>
    <row r="71" spans="1:2" x14ac:dyDescent="0.2">
      <c r="A71" s="12" t="s">
        <v>361</v>
      </c>
      <c r="B71" s="12" t="s">
        <v>362</v>
      </c>
    </row>
    <row r="72" spans="1:2" x14ac:dyDescent="0.2">
      <c r="A72" s="12" t="s">
        <v>363</v>
      </c>
      <c r="B72" s="12" t="s">
        <v>364</v>
      </c>
    </row>
    <row r="73" spans="1:2" x14ac:dyDescent="0.2">
      <c r="A73" s="12" t="s">
        <v>365</v>
      </c>
      <c r="B73" s="12" t="s">
        <v>366</v>
      </c>
    </row>
    <row r="74" spans="1:2" x14ac:dyDescent="0.2">
      <c r="A74" s="12" t="s">
        <v>367</v>
      </c>
      <c r="B74" s="12" t="s">
        <v>368</v>
      </c>
    </row>
    <row r="75" spans="1:2" x14ac:dyDescent="0.2">
      <c r="A75" s="12" t="s">
        <v>369</v>
      </c>
      <c r="B75" s="12" t="s">
        <v>370</v>
      </c>
    </row>
    <row r="76" spans="1:2" x14ac:dyDescent="0.2">
      <c r="A76" s="12" t="s">
        <v>371</v>
      </c>
      <c r="B76" s="12" t="s">
        <v>372</v>
      </c>
    </row>
    <row r="77" spans="1:2" x14ac:dyDescent="0.2">
      <c r="A77" s="12" t="s">
        <v>373</v>
      </c>
      <c r="B77" s="12" t="s">
        <v>374</v>
      </c>
    </row>
    <row r="78" spans="1:2" x14ac:dyDescent="0.2">
      <c r="A78" s="12" t="s">
        <v>375</v>
      </c>
      <c r="B78" s="12" t="s">
        <v>376</v>
      </c>
    </row>
    <row r="79" spans="1:2" x14ac:dyDescent="0.2">
      <c r="A79" s="12" t="s">
        <v>377</v>
      </c>
      <c r="B79" s="12" t="s">
        <v>378</v>
      </c>
    </row>
    <row r="80" spans="1:2" x14ac:dyDescent="0.2">
      <c r="A80" s="12" t="s">
        <v>379</v>
      </c>
      <c r="B80" s="12" t="s">
        <v>380</v>
      </c>
    </row>
    <row r="81" spans="1:2" x14ac:dyDescent="0.2">
      <c r="A81" s="12" t="s">
        <v>1098</v>
      </c>
      <c r="B81" s="12" t="s">
        <v>1004</v>
      </c>
    </row>
    <row r="82" spans="1:2" x14ac:dyDescent="0.2">
      <c r="A82" s="12" t="s">
        <v>1099</v>
      </c>
      <c r="B82" s="12" t="s">
        <v>1005</v>
      </c>
    </row>
    <row r="83" spans="1:2" x14ac:dyDescent="0.2">
      <c r="A83" s="12" t="s">
        <v>1100</v>
      </c>
      <c r="B83" s="12" t="s">
        <v>1006</v>
      </c>
    </row>
    <row r="84" spans="1:2" x14ac:dyDescent="0.2">
      <c r="A84" s="12" t="s">
        <v>381</v>
      </c>
      <c r="B84" s="12" t="s">
        <v>382</v>
      </c>
    </row>
    <row r="85" spans="1:2" x14ac:dyDescent="0.2">
      <c r="A85" s="12" t="s">
        <v>383</v>
      </c>
      <c r="B85" s="12" t="s">
        <v>384</v>
      </c>
    </row>
    <row r="86" spans="1:2" x14ac:dyDescent="0.2">
      <c r="A86" s="12" t="s">
        <v>385</v>
      </c>
      <c r="B86" s="12" t="s">
        <v>386</v>
      </c>
    </row>
    <row r="87" spans="1:2" x14ac:dyDescent="0.2">
      <c r="A87" s="12" t="s">
        <v>387</v>
      </c>
      <c r="B87" s="12" t="s">
        <v>388</v>
      </c>
    </row>
    <row r="88" spans="1:2" x14ac:dyDescent="0.2">
      <c r="A88" s="12" t="s">
        <v>1101</v>
      </c>
      <c r="B88" s="12" t="s">
        <v>1007</v>
      </c>
    </row>
    <row r="89" spans="1:2" x14ac:dyDescent="0.2">
      <c r="A89" s="12" t="s">
        <v>1102</v>
      </c>
      <c r="B89" s="12" t="s">
        <v>1008</v>
      </c>
    </row>
    <row r="90" spans="1:2" x14ac:dyDescent="0.2">
      <c r="A90" s="12" t="s">
        <v>389</v>
      </c>
      <c r="B90" s="12" t="s">
        <v>390</v>
      </c>
    </row>
    <row r="91" spans="1:2" x14ac:dyDescent="0.2">
      <c r="A91" s="12" t="s">
        <v>391</v>
      </c>
      <c r="B91" s="12" t="s">
        <v>392</v>
      </c>
    </row>
    <row r="92" spans="1:2" x14ac:dyDescent="0.2">
      <c r="A92" s="12" t="s">
        <v>393</v>
      </c>
      <c r="B92" s="12" t="s">
        <v>394</v>
      </c>
    </row>
    <row r="93" spans="1:2" x14ac:dyDescent="0.2">
      <c r="A93" s="12" t="s">
        <v>1103</v>
      </c>
      <c r="B93" s="12" t="s">
        <v>1009</v>
      </c>
    </row>
    <row r="94" spans="1:2" x14ac:dyDescent="0.2">
      <c r="A94" s="12" t="s">
        <v>396</v>
      </c>
      <c r="B94" s="12" t="s">
        <v>397</v>
      </c>
    </row>
    <row r="95" spans="1:2" x14ac:dyDescent="0.2">
      <c r="A95" s="12" t="s">
        <v>1104</v>
      </c>
      <c r="B95" s="12" t="s">
        <v>1010</v>
      </c>
    </row>
    <row r="96" spans="1:2" x14ac:dyDescent="0.2">
      <c r="A96" s="12" t="s">
        <v>398</v>
      </c>
      <c r="B96" s="12" t="s">
        <v>399</v>
      </c>
    </row>
    <row r="97" spans="1:2" x14ac:dyDescent="0.2">
      <c r="A97" s="12" t="s">
        <v>400</v>
      </c>
      <c r="B97" s="12" t="s">
        <v>401</v>
      </c>
    </row>
    <row r="98" spans="1:2" x14ac:dyDescent="0.2">
      <c r="A98" s="12" t="s">
        <v>402</v>
      </c>
      <c r="B98" s="12" t="s">
        <v>403</v>
      </c>
    </row>
    <row r="99" spans="1:2" x14ac:dyDescent="0.2">
      <c r="A99" s="12" t="s">
        <v>404</v>
      </c>
      <c r="B99" s="12" t="s">
        <v>405</v>
      </c>
    </row>
    <row r="100" spans="1:2" x14ac:dyDescent="0.2">
      <c r="A100" s="12" t="s">
        <v>406</v>
      </c>
      <c r="B100" s="12" t="s">
        <v>407</v>
      </c>
    </row>
    <row r="101" spans="1:2" x14ac:dyDescent="0.2">
      <c r="A101" s="12" t="s">
        <v>408</v>
      </c>
      <c r="B101" s="12" t="s">
        <v>409</v>
      </c>
    </row>
    <row r="102" spans="1:2" x14ac:dyDescent="0.2">
      <c r="A102" s="12" t="s">
        <v>410</v>
      </c>
      <c r="B102" s="12" t="s">
        <v>411</v>
      </c>
    </row>
    <row r="103" spans="1:2" x14ac:dyDescent="0.2">
      <c r="A103" s="12" t="s">
        <v>414</v>
      </c>
      <c r="B103" s="12" t="s">
        <v>415</v>
      </c>
    </row>
    <row r="104" spans="1:2" x14ac:dyDescent="0.2">
      <c r="A104" s="12" t="s">
        <v>412</v>
      </c>
      <c r="B104" s="12" t="s">
        <v>413</v>
      </c>
    </row>
    <row r="105" spans="1:2" x14ac:dyDescent="0.2">
      <c r="A105" s="12" t="s">
        <v>416</v>
      </c>
      <c r="B105" s="12" t="s">
        <v>417</v>
      </c>
    </row>
    <row r="106" spans="1:2" x14ac:dyDescent="0.2">
      <c r="A106" s="12" t="s">
        <v>418</v>
      </c>
      <c r="B106" s="12" t="s">
        <v>419</v>
      </c>
    </row>
    <row r="107" spans="1:2" x14ac:dyDescent="0.2">
      <c r="A107" s="12" t="s">
        <v>420</v>
      </c>
      <c r="B107" s="12" t="s">
        <v>421</v>
      </c>
    </row>
    <row r="108" spans="1:2" x14ac:dyDescent="0.2">
      <c r="A108" s="12" t="s">
        <v>422</v>
      </c>
      <c r="B108" s="12" t="s">
        <v>423</v>
      </c>
    </row>
    <row r="109" spans="1:2" x14ac:dyDescent="0.2">
      <c r="A109" s="12" t="s">
        <v>1105</v>
      </c>
      <c r="B109" s="12" t="s">
        <v>1011</v>
      </c>
    </row>
    <row r="110" spans="1:2" x14ac:dyDescent="0.2">
      <c r="A110" s="12" t="s">
        <v>424</v>
      </c>
      <c r="B110" s="12" t="s">
        <v>425</v>
      </c>
    </row>
    <row r="111" spans="1:2" x14ac:dyDescent="0.2">
      <c r="A111" s="12" t="s">
        <v>1106</v>
      </c>
      <c r="B111" s="12" t="s">
        <v>1012</v>
      </c>
    </row>
    <row r="112" spans="1:2" x14ac:dyDescent="0.2">
      <c r="A112" s="12" t="s">
        <v>426</v>
      </c>
      <c r="B112" s="12" t="s">
        <v>427</v>
      </c>
    </row>
    <row r="113" spans="1:2" x14ac:dyDescent="0.2">
      <c r="A113" s="12" t="s">
        <v>428</v>
      </c>
      <c r="B113" s="12" t="s">
        <v>429</v>
      </c>
    </row>
    <row r="114" spans="1:2" x14ac:dyDescent="0.2">
      <c r="A114" s="12" t="s">
        <v>430</v>
      </c>
      <c r="B114" s="12" t="s">
        <v>431</v>
      </c>
    </row>
    <row r="115" spans="1:2" x14ac:dyDescent="0.2">
      <c r="A115" s="12" t="s">
        <v>1107</v>
      </c>
      <c r="B115" s="12" t="s">
        <v>1013</v>
      </c>
    </row>
    <row r="116" spans="1:2" x14ac:dyDescent="0.2">
      <c r="A116" s="12" t="s">
        <v>1108</v>
      </c>
      <c r="B116" s="12" t="s">
        <v>1014</v>
      </c>
    </row>
    <row r="117" spans="1:2" x14ac:dyDescent="0.2">
      <c r="A117" s="12" t="s">
        <v>432</v>
      </c>
      <c r="B117" s="12" t="s">
        <v>433</v>
      </c>
    </row>
    <row r="118" spans="1:2" x14ac:dyDescent="0.2">
      <c r="A118" s="12" t="s">
        <v>434</v>
      </c>
      <c r="B118" s="12" t="s">
        <v>435</v>
      </c>
    </row>
    <row r="119" spans="1:2" x14ac:dyDescent="0.2">
      <c r="A119" s="12" t="s">
        <v>438</v>
      </c>
      <c r="B119" s="12" t="s">
        <v>439</v>
      </c>
    </row>
    <row r="120" spans="1:2" x14ac:dyDescent="0.2">
      <c r="A120" s="12" t="s">
        <v>436</v>
      </c>
      <c r="B120" s="12" t="s">
        <v>437</v>
      </c>
    </row>
    <row r="121" spans="1:2" x14ac:dyDescent="0.2">
      <c r="A121" s="12" t="s">
        <v>440</v>
      </c>
      <c r="B121" s="12" t="s">
        <v>441</v>
      </c>
    </row>
    <row r="122" spans="1:2" x14ac:dyDescent="0.2">
      <c r="A122" s="12" t="s">
        <v>442</v>
      </c>
      <c r="B122" s="12" t="s">
        <v>443</v>
      </c>
    </row>
    <row r="123" spans="1:2" x14ac:dyDescent="0.2">
      <c r="A123" s="12" t="s">
        <v>444</v>
      </c>
      <c r="B123" s="12" t="s">
        <v>445</v>
      </c>
    </row>
    <row r="124" spans="1:2" x14ac:dyDescent="0.2">
      <c r="A124" s="12" t="s">
        <v>446</v>
      </c>
      <c r="B124" s="12" t="s">
        <v>447</v>
      </c>
    </row>
    <row r="125" spans="1:2" x14ac:dyDescent="0.2">
      <c r="A125" s="12" t="s">
        <v>448</v>
      </c>
      <c r="B125" s="12" t="s">
        <v>449</v>
      </c>
    </row>
    <row r="126" spans="1:2" x14ac:dyDescent="0.2">
      <c r="A126" s="12" t="s">
        <v>450</v>
      </c>
      <c r="B126" s="12" t="s">
        <v>451</v>
      </c>
    </row>
    <row r="127" spans="1:2" x14ac:dyDescent="0.2">
      <c r="A127" s="12" t="s">
        <v>452</v>
      </c>
      <c r="B127" s="12" t="s">
        <v>453</v>
      </c>
    </row>
    <row r="128" spans="1:2" x14ac:dyDescent="0.2">
      <c r="A128" s="12" t="s">
        <v>454</v>
      </c>
      <c r="B128" s="12" t="s">
        <v>455</v>
      </c>
    </row>
    <row r="129" spans="1:2" x14ac:dyDescent="0.2">
      <c r="A129" s="12" t="s">
        <v>456</v>
      </c>
      <c r="B129" s="12" t="s">
        <v>457</v>
      </c>
    </row>
    <row r="130" spans="1:2" x14ac:dyDescent="0.2">
      <c r="A130" s="12" t="s">
        <v>458</v>
      </c>
      <c r="B130" s="12" t="s">
        <v>459</v>
      </c>
    </row>
    <row r="131" spans="1:2" x14ac:dyDescent="0.2">
      <c r="A131" s="12" t="s">
        <v>1109</v>
      </c>
      <c r="B131" s="12" t="s">
        <v>1015</v>
      </c>
    </row>
    <row r="132" spans="1:2" x14ac:dyDescent="0.2">
      <c r="A132" s="12" t="s">
        <v>461</v>
      </c>
      <c r="B132" s="12" t="s">
        <v>462</v>
      </c>
    </row>
    <row r="133" spans="1:2" x14ac:dyDescent="0.2">
      <c r="A133" s="12" t="s">
        <v>1110</v>
      </c>
      <c r="B133" s="12" t="s">
        <v>460</v>
      </c>
    </row>
    <row r="134" spans="1:2" x14ac:dyDescent="0.2">
      <c r="A134" s="12" t="s">
        <v>463</v>
      </c>
      <c r="B134" s="12" t="s">
        <v>464</v>
      </c>
    </row>
    <row r="135" spans="1:2" x14ac:dyDescent="0.2">
      <c r="A135" s="12" t="s">
        <v>465</v>
      </c>
      <c r="B135" s="12" t="s">
        <v>466</v>
      </c>
    </row>
    <row r="136" spans="1:2" x14ac:dyDescent="0.2">
      <c r="A136" s="12" t="s">
        <v>467</v>
      </c>
      <c r="B136" s="12" t="s">
        <v>468</v>
      </c>
    </row>
    <row r="137" spans="1:2" x14ac:dyDescent="0.2">
      <c r="A137" s="12" t="s">
        <v>469</v>
      </c>
      <c r="B137" s="12" t="s">
        <v>470</v>
      </c>
    </row>
    <row r="138" spans="1:2" x14ac:dyDescent="0.2">
      <c r="A138" s="12" t="s">
        <v>471</v>
      </c>
      <c r="B138" s="12" t="s">
        <v>472</v>
      </c>
    </row>
    <row r="139" spans="1:2" x14ac:dyDescent="0.2">
      <c r="A139" s="12" t="s">
        <v>473</v>
      </c>
      <c r="B139" s="12" t="s">
        <v>474</v>
      </c>
    </row>
    <row r="140" spans="1:2" x14ac:dyDescent="0.2">
      <c r="A140" s="12" t="s">
        <v>475</v>
      </c>
      <c r="B140" s="12" t="s">
        <v>476</v>
      </c>
    </row>
    <row r="141" spans="1:2" x14ac:dyDescent="0.2">
      <c r="A141" s="12" t="s">
        <v>477</v>
      </c>
      <c r="B141" s="12" t="s">
        <v>478</v>
      </c>
    </row>
    <row r="142" spans="1:2" x14ac:dyDescent="0.2">
      <c r="A142" s="12" t="s">
        <v>479</v>
      </c>
      <c r="B142" s="12" t="s">
        <v>480</v>
      </c>
    </row>
    <row r="143" spans="1:2" x14ac:dyDescent="0.2">
      <c r="A143" s="12" t="s">
        <v>481</v>
      </c>
      <c r="B143" s="12" t="s">
        <v>482</v>
      </c>
    </row>
    <row r="144" spans="1:2" x14ac:dyDescent="0.2">
      <c r="A144" s="12" t="s">
        <v>1111</v>
      </c>
      <c r="B144" s="12" t="s">
        <v>1016</v>
      </c>
    </row>
    <row r="145" spans="1:2" x14ac:dyDescent="0.2">
      <c r="A145" s="12" t="s">
        <v>1112</v>
      </c>
      <c r="B145" s="12" t="s">
        <v>483</v>
      </c>
    </row>
    <row r="146" spans="1:2" x14ac:dyDescent="0.2">
      <c r="A146" s="12" t="s">
        <v>484</v>
      </c>
      <c r="B146" s="12" t="s">
        <v>485</v>
      </c>
    </row>
    <row r="147" spans="1:2" x14ac:dyDescent="0.2">
      <c r="A147" s="12" t="s">
        <v>486</v>
      </c>
      <c r="B147" s="12" t="s">
        <v>487</v>
      </c>
    </row>
    <row r="148" spans="1:2" x14ac:dyDescent="0.2">
      <c r="A148" s="12" t="s">
        <v>488</v>
      </c>
      <c r="B148" s="12" t="s">
        <v>489</v>
      </c>
    </row>
    <row r="149" spans="1:2" x14ac:dyDescent="0.2">
      <c r="A149" s="12" t="s">
        <v>1113</v>
      </c>
      <c r="B149" s="12" t="s">
        <v>1017</v>
      </c>
    </row>
    <row r="150" spans="1:2" x14ac:dyDescent="0.2">
      <c r="A150" s="12" t="s">
        <v>490</v>
      </c>
      <c r="B150" s="12" t="s">
        <v>491</v>
      </c>
    </row>
    <row r="151" spans="1:2" x14ac:dyDescent="0.2">
      <c r="A151" s="12" t="s">
        <v>1114</v>
      </c>
      <c r="B151" s="12" t="s">
        <v>1018</v>
      </c>
    </row>
    <row r="152" spans="1:2" x14ac:dyDescent="0.2">
      <c r="A152" s="12" t="s">
        <v>1115</v>
      </c>
      <c r="B152" s="12" t="s">
        <v>1019</v>
      </c>
    </row>
    <row r="153" spans="1:2" x14ac:dyDescent="0.2">
      <c r="A153" s="12" t="s">
        <v>492</v>
      </c>
      <c r="B153" s="12" t="s">
        <v>493</v>
      </c>
    </row>
    <row r="154" spans="1:2" x14ac:dyDescent="0.2">
      <c r="A154" s="12" t="s">
        <v>494</v>
      </c>
      <c r="B154" s="12" t="s">
        <v>495</v>
      </c>
    </row>
    <row r="155" spans="1:2" x14ac:dyDescent="0.2">
      <c r="A155" s="12" t="s">
        <v>496</v>
      </c>
      <c r="B155" s="12" t="s">
        <v>497</v>
      </c>
    </row>
    <row r="156" spans="1:2" x14ac:dyDescent="0.2">
      <c r="A156" s="12" t="s">
        <v>1116</v>
      </c>
      <c r="B156" s="12" t="s">
        <v>498</v>
      </c>
    </row>
    <row r="157" spans="1:2" x14ac:dyDescent="0.2">
      <c r="A157" s="12" t="s">
        <v>1117</v>
      </c>
      <c r="B157" s="12" t="s">
        <v>1020</v>
      </c>
    </row>
    <row r="158" spans="1:2" x14ac:dyDescent="0.2">
      <c r="A158" s="12" t="s">
        <v>499</v>
      </c>
      <c r="B158" s="12" t="s">
        <v>500</v>
      </c>
    </row>
    <row r="159" spans="1:2" x14ac:dyDescent="0.2">
      <c r="A159" s="12" t="s">
        <v>501</v>
      </c>
      <c r="B159" s="12" t="s">
        <v>502</v>
      </c>
    </row>
    <row r="160" spans="1:2" x14ac:dyDescent="0.2">
      <c r="A160" s="12" t="s">
        <v>503</v>
      </c>
      <c r="B160" s="12" t="s">
        <v>504</v>
      </c>
    </row>
    <row r="161" spans="1:2" x14ac:dyDescent="0.2">
      <c r="A161" s="12" t="s">
        <v>505</v>
      </c>
      <c r="B161" s="12" t="s">
        <v>506</v>
      </c>
    </row>
    <row r="162" spans="1:2" x14ac:dyDescent="0.2">
      <c r="A162" s="12" t="s">
        <v>507</v>
      </c>
      <c r="B162" s="12" t="s">
        <v>508</v>
      </c>
    </row>
    <row r="163" spans="1:2" x14ac:dyDescent="0.2">
      <c r="A163" s="12" t="s">
        <v>509</v>
      </c>
      <c r="B163" s="12" t="s">
        <v>510</v>
      </c>
    </row>
    <row r="164" spans="1:2" x14ac:dyDescent="0.2">
      <c r="A164" s="12" t="s">
        <v>511</v>
      </c>
      <c r="B164" s="12" t="s">
        <v>512</v>
      </c>
    </row>
    <row r="165" spans="1:2" x14ac:dyDescent="0.2">
      <c r="A165" s="12" t="s">
        <v>513</v>
      </c>
      <c r="B165" s="12" t="s">
        <v>514</v>
      </c>
    </row>
    <row r="166" spans="1:2" x14ac:dyDescent="0.2">
      <c r="A166" s="12" t="s">
        <v>1118</v>
      </c>
      <c r="B166" s="12" t="s">
        <v>1021</v>
      </c>
    </row>
    <row r="167" spans="1:2" x14ac:dyDescent="0.2">
      <c r="A167" s="12" t="s">
        <v>1119</v>
      </c>
      <c r="B167" s="12" t="s">
        <v>1022</v>
      </c>
    </row>
    <row r="168" spans="1:2" x14ac:dyDescent="0.2">
      <c r="A168" s="12" t="s">
        <v>517</v>
      </c>
      <c r="B168" s="12" t="s">
        <v>518</v>
      </c>
    </row>
    <row r="169" spans="1:2" x14ac:dyDescent="0.2">
      <c r="A169" s="12" t="s">
        <v>515</v>
      </c>
      <c r="B169" s="12" t="s">
        <v>516</v>
      </c>
    </row>
    <row r="170" spans="1:2" x14ac:dyDescent="0.2">
      <c r="A170" s="12" t="s">
        <v>1120</v>
      </c>
      <c r="B170" s="12" t="s">
        <v>1023</v>
      </c>
    </row>
    <row r="171" spans="1:2" x14ac:dyDescent="0.2">
      <c r="A171" s="12" t="s">
        <v>519</v>
      </c>
      <c r="B171" s="12" t="s">
        <v>520</v>
      </c>
    </row>
    <row r="172" spans="1:2" x14ac:dyDescent="0.2">
      <c r="A172" s="12" t="s">
        <v>521</v>
      </c>
      <c r="B172" s="12" t="s">
        <v>522</v>
      </c>
    </row>
    <row r="173" spans="1:2" x14ac:dyDescent="0.2">
      <c r="A173" s="12" t="s">
        <v>523</v>
      </c>
      <c r="B173" s="12" t="s">
        <v>524</v>
      </c>
    </row>
    <row r="174" spans="1:2" x14ac:dyDescent="0.2">
      <c r="A174" s="12" t="s">
        <v>525</v>
      </c>
      <c r="B174" s="12" t="s">
        <v>526</v>
      </c>
    </row>
    <row r="175" spans="1:2" x14ac:dyDescent="0.2">
      <c r="A175" s="12" t="s">
        <v>527</v>
      </c>
      <c r="B175" s="12" t="s">
        <v>528</v>
      </c>
    </row>
    <row r="176" spans="1:2" x14ac:dyDescent="0.2">
      <c r="A176" s="12" t="s">
        <v>529</v>
      </c>
      <c r="B176" s="12" t="s">
        <v>530</v>
      </c>
    </row>
    <row r="177" spans="1:2" x14ac:dyDescent="0.2">
      <c r="A177" s="12" t="s">
        <v>531</v>
      </c>
      <c r="B177" s="12" t="s">
        <v>532</v>
      </c>
    </row>
    <row r="178" spans="1:2" x14ac:dyDescent="0.2">
      <c r="A178" s="12" t="s">
        <v>533</v>
      </c>
      <c r="B178" s="12" t="s">
        <v>534</v>
      </c>
    </row>
    <row r="179" spans="1:2" x14ac:dyDescent="0.2">
      <c r="A179" s="12" t="s">
        <v>535</v>
      </c>
      <c r="B179" s="12" t="s">
        <v>536</v>
      </c>
    </row>
    <row r="180" spans="1:2" x14ac:dyDescent="0.2">
      <c r="A180" s="12" t="s">
        <v>1121</v>
      </c>
      <c r="B180" s="12" t="s">
        <v>537</v>
      </c>
    </row>
    <row r="181" spans="1:2" x14ac:dyDescent="0.2">
      <c r="A181" s="12" t="s">
        <v>538</v>
      </c>
      <c r="B181" s="12" t="s">
        <v>539</v>
      </c>
    </row>
    <row r="182" spans="1:2" x14ac:dyDescent="0.2">
      <c r="A182" s="12" t="s">
        <v>1122</v>
      </c>
      <c r="B182" s="12" t="s">
        <v>1024</v>
      </c>
    </row>
    <row r="183" spans="1:2" x14ac:dyDescent="0.2">
      <c r="A183" s="12" t="s">
        <v>1123</v>
      </c>
      <c r="B183" s="12" t="s">
        <v>1025</v>
      </c>
    </row>
    <row r="184" spans="1:2" x14ac:dyDescent="0.2">
      <c r="A184" s="12" t="s">
        <v>540</v>
      </c>
      <c r="B184" s="12" t="s">
        <v>541</v>
      </c>
    </row>
    <row r="185" spans="1:2" x14ac:dyDescent="0.2">
      <c r="A185" s="12" t="s">
        <v>542</v>
      </c>
      <c r="B185" s="12" t="s">
        <v>543</v>
      </c>
    </row>
    <row r="186" spans="1:2" x14ac:dyDescent="0.2">
      <c r="A186" s="12" t="s">
        <v>544</v>
      </c>
      <c r="B186" s="12" t="s">
        <v>545</v>
      </c>
    </row>
    <row r="187" spans="1:2" x14ac:dyDescent="0.2">
      <c r="A187" s="12" t="s">
        <v>546</v>
      </c>
      <c r="B187" s="12" t="s">
        <v>547</v>
      </c>
    </row>
    <row r="188" spans="1:2" x14ac:dyDescent="0.2">
      <c r="A188" s="12" t="s">
        <v>548</v>
      </c>
      <c r="B188" s="12" t="s">
        <v>549</v>
      </c>
    </row>
    <row r="189" spans="1:2" x14ac:dyDescent="0.2">
      <c r="A189" s="12" t="s">
        <v>550</v>
      </c>
      <c r="B189" s="12" t="s">
        <v>551</v>
      </c>
    </row>
    <row r="190" spans="1:2" x14ac:dyDescent="0.2">
      <c r="A190" s="12" t="s">
        <v>552</v>
      </c>
      <c r="B190" s="12" t="s">
        <v>553</v>
      </c>
    </row>
    <row r="191" spans="1:2" x14ac:dyDescent="0.2">
      <c r="A191" s="12" t="s">
        <v>1124</v>
      </c>
      <c r="B191" s="12" t="s">
        <v>1026</v>
      </c>
    </row>
    <row r="192" spans="1:2" x14ac:dyDescent="0.2">
      <c r="A192" s="12" t="s">
        <v>554</v>
      </c>
      <c r="B192" s="12" t="s">
        <v>555</v>
      </c>
    </row>
    <row r="193" spans="1:2" x14ac:dyDescent="0.2">
      <c r="A193" s="12" t="s">
        <v>556</v>
      </c>
      <c r="B193" s="12" t="s">
        <v>557</v>
      </c>
    </row>
    <row r="194" spans="1:2" x14ac:dyDescent="0.2">
      <c r="A194" s="12" t="s">
        <v>1125</v>
      </c>
      <c r="B194" s="12" t="s">
        <v>1027</v>
      </c>
    </row>
    <row r="195" spans="1:2" x14ac:dyDescent="0.2">
      <c r="A195" s="12" t="s">
        <v>558</v>
      </c>
      <c r="B195" s="12" t="s">
        <v>559</v>
      </c>
    </row>
    <row r="196" spans="1:2" x14ac:dyDescent="0.2">
      <c r="A196" s="12" t="s">
        <v>560</v>
      </c>
      <c r="B196" s="12" t="s">
        <v>561</v>
      </c>
    </row>
    <row r="197" spans="1:2" x14ac:dyDescent="0.2">
      <c r="A197" s="12" t="s">
        <v>562</v>
      </c>
      <c r="B197" s="12" t="s">
        <v>563</v>
      </c>
    </row>
    <row r="198" spans="1:2" x14ac:dyDescent="0.2">
      <c r="A198" s="12" t="s">
        <v>564</v>
      </c>
      <c r="B198" s="12" t="s">
        <v>565</v>
      </c>
    </row>
    <row r="199" spans="1:2" x14ac:dyDescent="0.2">
      <c r="A199" s="12" t="s">
        <v>566</v>
      </c>
      <c r="B199" s="12" t="s">
        <v>567</v>
      </c>
    </row>
    <row r="200" spans="1:2" x14ac:dyDescent="0.2">
      <c r="A200" s="12" t="s">
        <v>568</v>
      </c>
      <c r="B200" s="12" t="s">
        <v>569</v>
      </c>
    </row>
    <row r="201" spans="1:2" x14ac:dyDescent="0.2">
      <c r="A201" s="12" t="s">
        <v>570</v>
      </c>
      <c r="B201" s="12" t="s">
        <v>571</v>
      </c>
    </row>
    <row r="202" spans="1:2" x14ac:dyDescent="0.2">
      <c r="A202" s="12" t="s">
        <v>572</v>
      </c>
      <c r="B202" s="12" t="s">
        <v>573</v>
      </c>
    </row>
    <row r="203" spans="1:2" x14ac:dyDescent="0.2">
      <c r="A203" s="12" t="s">
        <v>574</v>
      </c>
      <c r="B203" s="12" t="s">
        <v>575</v>
      </c>
    </row>
    <row r="204" spans="1:2" x14ac:dyDescent="0.2">
      <c r="A204" s="12" t="s">
        <v>576</v>
      </c>
      <c r="B204" s="12" t="s">
        <v>577</v>
      </c>
    </row>
    <row r="205" spans="1:2" x14ac:dyDescent="0.2">
      <c r="A205" s="12" t="s">
        <v>578</v>
      </c>
      <c r="B205" s="12" t="s">
        <v>579</v>
      </c>
    </row>
    <row r="206" spans="1:2" x14ac:dyDescent="0.2">
      <c r="A206" s="12" t="s">
        <v>580</v>
      </c>
      <c r="B206" s="12" t="s">
        <v>581</v>
      </c>
    </row>
    <row r="207" spans="1:2" x14ac:dyDescent="0.2">
      <c r="A207" s="12" t="s">
        <v>582</v>
      </c>
      <c r="B207" s="12" t="s">
        <v>583</v>
      </c>
    </row>
    <row r="208" spans="1:2" x14ac:dyDescent="0.2">
      <c r="A208" s="12" t="s">
        <v>584</v>
      </c>
      <c r="B208" s="12" t="s">
        <v>585</v>
      </c>
    </row>
    <row r="209" spans="1:2" x14ac:dyDescent="0.2">
      <c r="A209" s="12" t="s">
        <v>586</v>
      </c>
      <c r="B209" s="12" t="s">
        <v>587</v>
      </c>
    </row>
    <row r="210" spans="1:2" x14ac:dyDescent="0.2">
      <c r="A210" s="12" t="s">
        <v>1126</v>
      </c>
      <c r="B210" s="12" t="s">
        <v>1028</v>
      </c>
    </row>
    <row r="211" spans="1:2" x14ac:dyDescent="0.2">
      <c r="A211" s="12" t="s">
        <v>588</v>
      </c>
      <c r="B211" s="12" t="s">
        <v>589</v>
      </c>
    </row>
    <row r="212" spans="1:2" x14ac:dyDescent="0.2">
      <c r="A212" s="12" t="s">
        <v>590</v>
      </c>
      <c r="B212" s="12" t="s">
        <v>591</v>
      </c>
    </row>
    <row r="213" spans="1:2" x14ac:dyDescent="0.2">
      <c r="A213" s="12" t="s">
        <v>592</v>
      </c>
      <c r="B213" s="12" t="s">
        <v>593</v>
      </c>
    </row>
    <row r="214" spans="1:2" x14ac:dyDescent="0.2">
      <c r="A214" s="12" t="s">
        <v>1127</v>
      </c>
      <c r="B214" s="12" t="s">
        <v>1029</v>
      </c>
    </row>
    <row r="215" spans="1:2" x14ac:dyDescent="0.2">
      <c r="A215" s="12" t="s">
        <v>594</v>
      </c>
      <c r="B215" s="12" t="s">
        <v>595</v>
      </c>
    </row>
    <row r="216" spans="1:2" x14ac:dyDescent="0.2">
      <c r="A216" s="12" t="s">
        <v>596</v>
      </c>
      <c r="B216" s="12" t="s">
        <v>597</v>
      </c>
    </row>
    <row r="217" spans="1:2" x14ac:dyDescent="0.2">
      <c r="A217" s="12" t="s">
        <v>598</v>
      </c>
      <c r="B217" s="12" t="s">
        <v>599</v>
      </c>
    </row>
    <row r="218" spans="1:2" x14ac:dyDescent="0.2">
      <c r="A218" s="12" t="s">
        <v>600</v>
      </c>
      <c r="B218" s="12" t="s">
        <v>601</v>
      </c>
    </row>
    <row r="219" spans="1:2" x14ac:dyDescent="0.2">
      <c r="A219" s="12" t="s">
        <v>602</v>
      </c>
      <c r="B219" s="12" t="s">
        <v>603</v>
      </c>
    </row>
    <row r="220" spans="1:2" x14ac:dyDescent="0.2">
      <c r="A220" s="12" t="s">
        <v>606</v>
      </c>
      <c r="B220" s="12" t="s">
        <v>607</v>
      </c>
    </row>
    <row r="221" spans="1:2" x14ac:dyDescent="0.2">
      <c r="A221" s="12" t="s">
        <v>604</v>
      </c>
      <c r="B221" s="12" t="s">
        <v>605</v>
      </c>
    </row>
    <row r="222" spans="1:2" x14ac:dyDescent="0.2">
      <c r="A222" s="12" t="s">
        <v>610</v>
      </c>
      <c r="B222" s="12" t="s">
        <v>611</v>
      </c>
    </row>
    <row r="223" spans="1:2" x14ac:dyDescent="0.2">
      <c r="A223" s="12" t="s">
        <v>608</v>
      </c>
      <c r="B223" s="12" t="s">
        <v>609</v>
      </c>
    </row>
    <row r="224" spans="1:2" x14ac:dyDescent="0.2">
      <c r="A224" s="12" t="s">
        <v>1128</v>
      </c>
      <c r="B224" s="12" t="s">
        <v>1030</v>
      </c>
    </row>
    <row r="225" spans="1:2" x14ac:dyDescent="0.2">
      <c r="A225" s="12" t="s">
        <v>1129</v>
      </c>
      <c r="B225" s="12" t="s">
        <v>1031</v>
      </c>
    </row>
    <row r="226" spans="1:2" x14ac:dyDescent="0.2">
      <c r="A226" s="12" t="s">
        <v>612</v>
      </c>
      <c r="B226" s="12" t="s">
        <v>613</v>
      </c>
    </row>
    <row r="227" spans="1:2" x14ac:dyDescent="0.2">
      <c r="A227" s="12" t="s">
        <v>614</v>
      </c>
      <c r="B227" s="12" t="s">
        <v>615</v>
      </c>
    </row>
    <row r="228" spans="1:2" x14ac:dyDescent="0.2">
      <c r="A228" s="12" t="s">
        <v>1130</v>
      </c>
      <c r="B228" s="12" t="s">
        <v>616</v>
      </c>
    </row>
    <row r="229" spans="1:2" x14ac:dyDescent="0.2">
      <c r="A229" s="12" t="s">
        <v>617</v>
      </c>
      <c r="B229" s="12" t="s">
        <v>618</v>
      </c>
    </row>
    <row r="230" spans="1:2" x14ac:dyDescent="0.2">
      <c r="A230" s="12" t="s">
        <v>619</v>
      </c>
      <c r="B230" s="12" t="s">
        <v>620</v>
      </c>
    </row>
    <row r="231" spans="1:2" x14ac:dyDescent="0.2">
      <c r="A231" s="12" t="s">
        <v>621</v>
      </c>
      <c r="B231" s="12" t="s">
        <v>622</v>
      </c>
    </row>
    <row r="232" spans="1:2" x14ac:dyDescent="0.2">
      <c r="A232" s="12" t="s">
        <v>623</v>
      </c>
      <c r="B232" s="12" t="s">
        <v>624</v>
      </c>
    </row>
    <row r="233" spans="1:2" x14ac:dyDescent="0.2">
      <c r="A233" s="12" t="s">
        <v>625</v>
      </c>
      <c r="B233" s="12" t="s">
        <v>626</v>
      </c>
    </row>
    <row r="234" spans="1:2" x14ac:dyDescent="0.2">
      <c r="A234" s="12" t="s">
        <v>627</v>
      </c>
      <c r="B234" s="12" t="s">
        <v>628</v>
      </c>
    </row>
    <row r="235" spans="1:2" x14ac:dyDescent="0.2">
      <c r="A235" s="12" t="s">
        <v>629</v>
      </c>
      <c r="B235" s="12" t="s">
        <v>630</v>
      </c>
    </row>
    <row r="236" spans="1:2" x14ac:dyDescent="0.2">
      <c r="A236" s="12" t="s">
        <v>631</v>
      </c>
      <c r="B236" s="12" t="s">
        <v>632</v>
      </c>
    </row>
    <row r="237" spans="1:2" x14ac:dyDescent="0.2">
      <c r="A237" s="12" t="s">
        <v>633</v>
      </c>
      <c r="B237" s="12" t="s">
        <v>634</v>
      </c>
    </row>
    <row r="238" spans="1:2" x14ac:dyDescent="0.2">
      <c r="A238" s="12" t="s">
        <v>635</v>
      </c>
      <c r="B238" s="12" t="s">
        <v>636</v>
      </c>
    </row>
    <row r="239" spans="1:2" x14ac:dyDescent="0.2">
      <c r="A239" s="12" t="s">
        <v>637</v>
      </c>
      <c r="B239" s="12" t="s">
        <v>638</v>
      </c>
    </row>
    <row r="240" spans="1:2" x14ac:dyDescent="0.2">
      <c r="A240" s="12" t="s">
        <v>639</v>
      </c>
      <c r="B240" s="12" t="s">
        <v>640</v>
      </c>
    </row>
    <row r="241" spans="1:2" x14ac:dyDescent="0.2">
      <c r="A241" s="12" t="s">
        <v>641</v>
      </c>
      <c r="B241" s="12" t="s">
        <v>642</v>
      </c>
    </row>
    <row r="242" spans="1:2" x14ac:dyDescent="0.2">
      <c r="A242" s="12" t="s">
        <v>1131</v>
      </c>
      <c r="B242" s="12" t="s">
        <v>1032</v>
      </c>
    </row>
    <row r="243" spans="1:2" x14ac:dyDescent="0.2">
      <c r="A243" s="12" t="s">
        <v>1132</v>
      </c>
      <c r="B243" s="12" t="s">
        <v>1033</v>
      </c>
    </row>
    <row r="244" spans="1:2" x14ac:dyDescent="0.2">
      <c r="A244" s="12" t="s">
        <v>643</v>
      </c>
      <c r="B244" s="12" t="s">
        <v>644</v>
      </c>
    </row>
    <row r="245" spans="1:2" x14ac:dyDescent="0.2">
      <c r="A245" s="12" t="s">
        <v>645</v>
      </c>
      <c r="B245" s="12" t="s">
        <v>646</v>
      </c>
    </row>
    <row r="246" spans="1:2" x14ac:dyDescent="0.2">
      <c r="A246" s="12" t="s">
        <v>647</v>
      </c>
      <c r="B246" s="12" t="s">
        <v>648</v>
      </c>
    </row>
    <row r="247" spans="1:2" x14ac:dyDescent="0.2">
      <c r="A247" s="12" t="s">
        <v>1133</v>
      </c>
      <c r="B247" s="12" t="s">
        <v>1034</v>
      </c>
    </row>
    <row r="248" spans="1:2" x14ac:dyDescent="0.2">
      <c r="A248" s="12" t="s">
        <v>649</v>
      </c>
      <c r="B248" s="12" t="s">
        <v>650</v>
      </c>
    </row>
    <row r="249" spans="1:2" x14ac:dyDescent="0.2">
      <c r="A249" s="12" t="s">
        <v>651</v>
      </c>
      <c r="B249" s="12" t="s">
        <v>652</v>
      </c>
    </row>
    <row r="250" spans="1:2" x14ac:dyDescent="0.2">
      <c r="A250" s="12" t="s">
        <v>1134</v>
      </c>
      <c r="B250" s="12" t="s">
        <v>1035</v>
      </c>
    </row>
    <row r="251" spans="1:2" x14ac:dyDescent="0.2">
      <c r="A251" s="12" t="s">
        <v>1135</v>
      </c>
      <c r="B251" s="12" t="s">
        <v>1036</v>
      </c>
    </row>
    <row r="252" spans="1:2" x14ac:dyDescent="0.2">
      <c r="A252" s="12" t="s">
        <v>1136</v>
      </c>
      <c r="B252" s="12" t="s">
        <v>1037</v>
      </c>
    </row>
    <row r="253" spans="1:2" x14ac:dyDescent="0.2">
      <c r="A253" s="12" t="s">
        <v>653</v>
      </c>
      <c r="B253" s="12" t="s">
        <v>654</v>
      </c>
    </row>
    <row r="254" spans="1:2" x14ac:dyDescent="0.2">
      <c r="A254" s="12" t="s">
        <v>657</v>
      </c>
      <c r="B254" s="12" t="s">
        <v>658</v>
      </c>
    </row>
    <row r="255" spans="1:2" x14ac:dyDescent="0.2">
      <c r="A255" s="12" t="s">
        <v>655</v>
      </c>
      <c r="B255" s="12" t="s">
        <v>656</v>
      </c>
    </row>
    <row r="256" spans="1:2" x14ac:dyDescent="0.2">
      <c r="A256" s="12" t="s">
        <v>1137</v>
      </c>
      <c r="B256" s="12" t="s">
        <v>659</v>
      </c>
    </row>
    <row r="257" spans="1:2" x14ac:dyDescent="0.2">
      <c r="A257" s="12" t="s">
        <v>660</v>
      </c>
      <c r="B257" s="12" t="s">
        <v>661</v>
      </c>
    </row>
    <row r="258" spans="1:2" x14ac:dyDescent="0.2">
      <c r="A258" s="12" t="s">
        <v>662</v>
      </c>
      <c r="B258" s="12" t="s">
        <v>663</v>
      </c>
    </row>
    <row r="259" spans="1:2" x14ac:dyDescent="0.2">
      <c r="A259" s="12" t="s">
        <v>664</v>
      </c>
      <c r="B259" s="12" t="s">
        <v>665</v>
      </c>
    </row>
    <row r="260" spans="1:2" x14ac:dyDescent="0.2">
      <c r="A260" s="12" t="s">
        <v>666</v>
      </c>
      <c r="B260" s="12" t="s">
        <v>667</v>
      </c>
    </row>
    <row r="261" spans="1:2" x14ac:dyDescent="0.2">
      <c r="A261" s="12" t="s">
        <v>668</v>
      </c>
      <c r="B261" s="12" t="s">
        <v>669</v>
      </c>
    </row>
    <row r="262" spans="1:2" x14ac:dyDescent="0.2">
      <c r="A262" s="12" t="s">
        <v>670</v>
      </c>
      <c r="B262" s="12" t="s">
        <v>671</v>
      </c>
    </row>
    <row r="263" spans="1:2" x14ac:dyDescent="0.2">
      <c r="A263" s="12" t="s">
        <v>672</v>
      </c>
      <c r="B263" s="12" t="s">
        <v>673</v>
      </c>
    </row>
    <row r="264" spans="1:2" x14ac:dyDescent="0.2">
      <c r="A264" s="12" t="s">
        <v>1138</v>
      </c>
      <c r="B264" s="12" t="s">
        <v>1038</v>
      </c>
    </row>
    <row r="265" spans="1:2" x14ac:dyDescent="0.2">
      <c r="A265" s="12" t="s">
        <v>674</v>
      </c>
      <c r="B265" s="12" t="s">
        <v>675</v>
      </c>
    </row>
    <row r="266" spans="1:2" x14ac:dyDescent="0.2">
      <c r="A266" s="12" t="s">
        <v>676</v>
      </c>
      <c r="B266" s="12" t="s">
        <v>677</v>
      </c>
    </row>
    <row r="267" spans="1:2" x14ac:dyDescent="0.2">
      <c r="A267" s="12" t="s">
        <v>679</v>
      </c>
      <c r="B267" s="12" t="s">
        <v>680</v>
      </c>
    </row>
    <row r="268" spans="1:2" x14ac:dyDescent="0.2">
      <c r="A268" s="12" t="s">
        <v>681</v>
      </c>
      <c r="B268" s="12" t="s">
        <v>682</v>
      </c>
    </row>
    <row r="269" spans="1:2" x14ac:dyDescent="0.2">
      <c r="A269" s="12" t="s">
        <v>1139</v>
      </c>
      <c r="B269" s="12" t="s">
        <v>678</v>
      </c>
    </row>
    <row r="270" spans="1:2" x14ac:dyDescent="0.2">
      <c r="A270" s="12" t="s">
        <v>683</v>
      </c>
      <c r="B270" s="12" t="s">
        <v>684</v>
      </c>
    </row>
    <row r="271" spans="1:2" x14ac:dyDescent="0.2">
      <c r="A271" s="12" t="s">
        <v>1140</v>
      </c>
      <c r="B271" s="12" t="s">
        <v>1039</v>
      </c>
    </row>
    <row r="272" spans="1:2" x14ac:dyDescent="0.2">
      <c r="A272" s="12" t="s">
        <v>685</v>
      </c>
      <c r="B272" s="12" t="s">
        <v>686</v>
      </c>
    </row>
    <row r="273" spans="1:2" x14ac:dyDescent="0.2">
      <c r="A273" s="12" t="s">
        <v>687</v>
      </c>
      <c r="B273" s="12" t="s">
        <v>688</v>
      </c>
    </row>
    <row r="274" spans="1:2" x14ac:dyDescent="0.2">
      <c r="A274" s="12" t="s">
        <v>1141</v>
      </c>
      <c r="B274" s="12" t="s">
        <v>1040</v>
      </c>
    </row>
    <row r="275" spans="1:2" x14ac:dyDescent="0.2">
      <c r="A275" s="12" t="s">
        <v>689</v>
      </c>
      <c r="B275" s="12" t="s">
        <v>690</v>
      </c>
    </row>
    <row r="276" spans="1:2" x14ac:dyDescent="0.2">
      <c r="A276" s="12" t="s">
        <v>691</v>
      </c>
      <c r="B276" s="12" t="s">
        <v>692</v>
      </c>
    </row>
    <row r="277" spans="1:2" x14ac:dyDescent="0.2">
      <c r="A277" s="12" t="s">
        <v>693</v>
      </c>
      <c r="B277" s="12" t="s">
        <v>694</v>
      </c>
    </row>
    <row r="278" spans="1:2" x14ac:dyDescent="0.2">
      <c r="A278" s="12" t="s">
        <v>695</v>
      </c>
      <c r="B278" s="12" t="s">
        <v>696</v>
      </c>
    </row>
    <row r="279" spans="1:2" x14ac:dyDescent="0.2">
      <c r="A279" s="12" t="s">
        <v>697</v>
      </c>
      <c r="B279" s="12" t="s">
        <v>698</v>
      </c>
    </row>
    <row r="280" spans="1:2" x14ac:dyDescent="0.2">
      <c r="A280" s="12" t="s">
        <v>699</v>
      </c>
      <c r="B280" s="12" t="s">
        <v>700</v>
      </c>
    </row>
    <row r="281" spans="1:2" x14ac:dyDescent="0.2">
      <c r="A281" s="12" t="s">
        <v>701</v>
      </c>
      <c r="B281" s="12" t="s">
        <v>702</v>
      </c>
    </row>
    <row r="282" spans="1:2" x14ac:dyDescent="0.2">
      <c r="A282" s="12" t="s">
        <v>703</v>
      </c>
      <c r="B282" s="12" t="s">
        <v>704</v>
      </c>
    </row>
    <row r="283" spans="1:2" x14ac:dyDescent="0.2">
      <c r="A283" s="12" t="s">
        <v>705</v>
      </c>
      <c r="B283" s="12" t="s">
        <v>706</v>
      </c>
    </row>
    <row r="284" spans="1:2" x14ac:dyDescent="0.2">
      <c r="A284" s="12" t="s">
        <v>707</v>
      </c>
      <c r="B284" s="12" t="s">
        <v>708</v>
      </c>
    </row>
    <row r="285" spans="1:2" x14ac:dyDescent="0.2">
      <c r="A285" s="12" t="s">
        <v>709</v>
      </c>
      <c r="B285" s="12" t="s">
        <v>710</v>
      </c>
    </row>
    <row r="286" spans="1:2" x14ac:dyDescent="0.2">
      <c r="A286" s="12" t="s">
        <v>711</v>
      </c>
      <c r="B286" s="12" t="s">
        <v>712</v>
      </c>
    </row>
    <row r="287" spans="1:2" x14ac:dyDescent="0.2">
      <c r="A287" s="12" t="s">
        <v>713</v>
      </c>
      <c r="B287" s="12" t="s">
        <v>714</v>
      </c>
    </row>
    <row r="288" spans="1:2" x14ac:dyDescent="0.2">
      <c r="A288" s="12" t="s">
        <v>1142</v>
      </c>
      <c r="B288" s="12" t="s">
        <v>1041</v>
      </c>
    </row>
    <row r="289" spans="1:2" x14ac:dyDescent="0.2">
      <c r="A289" s="12" t="s">
        <v>715</v>
      </c>
      <c r="B289" s="12" t="s">
        <v>716</v>
      </c>
    </row>
    <row r="290" spans="1:2" x14ac:dyDescent="0.2">
      <c r="A290" s="12" t="s">
        <v>717</v>
      </c>
      <c r="B290" s="12" t="s">
        <v>718</v>
      </c>
    </row>
    <row r="291" spans="1:2" x14ac:dyDescent="0.2">
      <c r="A291" s="12" t="s">
        <v>719</v>
      </c>
      <c r="B291" s="12" t="s">
        <v>720</v>
      </c>
    </row>
    <row r="292" spans="1:2" x14ac:dyDescent="0.2">
      <c r="A292" s="12" t="s">
        <v>721</v>
      </c>
      <c r="B292" s="12" t="s">
        <v>722</v>
      </c>
    </row>
    <row r="293" spans="1:2" x14ac:dyDescent="0.2">
      <c r="A293" s="12" t="s">
        <v>723</v>
      </c>
      <c r="B293" s="12" t="s">
        <v>724</v>
      </c>
    </row>
    <row r="294" spans="1:2" x14ac:dyDescent="0.2">
      <c r="A294" s="12" t="s">
        <v>725</v>
      </c>
      <c r="B294" s="12" t="s">
        <v>726</v>
      </c>
    </row>
    <row r="295" spans="1:2" x14ac:dyDescent="0.2">
      <c r="A295" s="12" t="s">
        <v>1143</v>
      </c>
      <c r="B295" s="12" t="s">
        <v>1042</v>
      </c>
    </row>
    <row r="296" spans="1:2" x14ac:dyDescent="0.2">
      <c r="A296" s="12" t="s">
        <v>727</v>
      </c>
      <c r="B296" s="12" t="s">
        <v>728</v>
      </c>
    </row>
    <row r="297" spans="1:2" x14ac:dyDescent="0.2">
      <c r="A297" s="12" t="s">
        <v>729</v>
      </c>
      <c r="B297" s="12" t="s">
        <v>730</v>
      </c>
    </row>
    <row r="298" spans="1:2" x14ac:dyDescent="0.2">
      <c r="A298" s="12" t="s">
        <v>731</v>
      </c>
      <c r="B298" s="12" t="s">
        <v>732</v>
      </c>
    </row>
    <row r="299" spans="1:2" x14ac:dyDescent="0.2">
      <c r="A299" s="12" t="s">
        <v>1144</v>
      </c>
      <c r="B299" s="12" t="s">
        <v>1043</v>
      </c>
    </row>
    <row r="300" spans="1:2" x14ac:dyDescent="0.2">
      <c r="A300" s="12" t="s">
        <v>733</v>
      </c>
      <c r="B300" s="12" t="s">
        <v>734</v>
      </c>
    </row>
    <row r="301" spans="1:2" x14ac:dyDescent="0.2">
      <c r="A301" s="12" t="s">
        <v>735</v>
      </c>
      <c r="B301" s="12" t="s">
        <v>736</v>
      </c>
    </row>
    <row r="302" spans="1:2" x14ac:dyDescent="0.2">
      <c r="A302" s="12" t="s">
        <v>737</v>
      </c>
      <c r="B302" s="12" t="s">
        <v>738</v>
      </c>
    </row>
    <row r="303" spans="1:2" x14ac:dyDescent="0.2">
      <c r="A303" s="12" t="s">
        <v>739</v>
      </c>
      <c r="B303" s="12" t="s">
        <v>740</v>
      </c>
    </row>
    <row r="304" spans="1:2" x14ac:dyDescent="0.2">
      <c r="A304" s="12" t="s">
        <v>741</v>
      </c>
      <c r="B304" s="12" t="s">
        <v>742</v>
      </c>
    </row>
    <row r="305" spans="1:2" x14ac:dyDescent="0.2">
      <c r="A305" s="12" t="s">
        <v>743</v>
      </c>
      <c r="B305" s="12" t="s">
        <v>744</v>
      </c>
    </row>
    <row r="306" spans="1:2" x14ac:dyDescent="0.2">
      <c r="A306" s="12" t="s">
        <v>1145</v>
      </c>
      <c r="B306" s="12" t="s">
        <v>1044</v>
      </c>
    </row>
    <row r="307" spans="1:2" x14ac:dyDescent="0.2">
      <c r="A307" s="12" t="s">
        <v>745</v>
      </c>
      <c r="B307" s="12" t="s">
        <v>746</v>
      </c>
    </row>
    <row r="308" spans="1:2" x14ac:dyDescent="0.2">
      <c r="A308" s="12" t="s">
        <v>747</v>
      </c>
      <c r="B308" s="12" t="s">
        <v>748</v>
      </c>
    </row>
    <row r="309" spans="1:2" x14ac:dyDescent="0.2">
      <c r="A309" s="12" t="s">
        <v>749</v>
      </c>
      <c r="B309" s="12" t="s">
        <v>750</v>
      </c>
    </row>
    <row r="310" spans="1:2" x14ac:dyDescent="0.2">
      <c r="A310" s="12" t="s">
        <v>751</v>
      </c>
      <c r="B310" s="12" t="s">
        <v>752</v>
      </c>
    </row>
    <row r="311" spans="1:2" x14ac:dyDescent="0.2">
      <c r="A311" s="12" t="s">
        <v>753</v>
      </c>
      <c r="B311" s="12" t="s">
        <v>754</v>
      </c>
    </row>
    <row r="312" spans="1:2" x14ac:dyDescent="0.2">
      <c r="A312" s="12" t="s">
        <v>1146</v>
      </c>
      <c r="B312" s="12" t="s">
        <v>755</v>
      </c>
    </row>
    <row r="313" spans="1:2" x14ac:dyDescent="0.2">
      <c r="A313" s="12" t="s">
        <v>756</v>
      </c>
      <c r="B313" s="12" t="s">
        <v>757</v>
      </c>
    </row>
    <row r="314" spans="1:2" x14ac:dyDescent="0.2">
      <c r="A314" s="12" t="s">
        <v>1147</v>
      </c>
      <c r="B314" s="12" t="s">
        <v>1045</v>
      </c>
    </row>
    <row r="315" spans="1:2" x14ac:dyDescent="0.2">
      <c r="A315" s="12" t="s">
        <v>758</v>
      </c>
      <c r="B315" s="12" t="s">
        <v>759</v>
      </c>
    </row>
    <row r="316" spans="1:2" x14ac:dyDescent="0.2">
      <c r="A316" s="12" t="s">
        <v>760</v>
      </c>
      <c r="B316" s="12" t="s">
        <v>761</v>
      </c>
    </row>
    <row r="317" spans="1:2" x14ac:dyDescent="0.2">
      <c r="A317" s="12" t="s">
        <v>762</v>
      </c>
      <c r="B317" s="12" t="s">
        <v>763</v>
      </c>
    </row>
    <row r="318" spans="1:2" x14ac:dyDescent="0.2">
      <c r="A318" s="12" t="s">
        <v>764</v>
      </c>
      <c r="B318" s="12" t="s">
        <v>765</v>
      </c>
    </row>
    <row r="319" spans="1:2" x14ac:dyDescent="0.2">
      <c r="A319" s="12" t="s">
        <v>766</v>
      </c>
      <c r="B319" s="12" t="s">
        <v>767</v>
      </c>
    </row>
    <row r="320" spans="1:2" x14ac:dyDescent="0.2">
      <c r="A320" s="12" t="s">
        <v>1148</v>
      </c>
      <c r="B320" s="12" t="s">
        <v>1046</v>
      </c>
    </row>
    <row r="321" spans="1:2" x14ac:dyDescent="0.2">
      <c r="A321" s="12" t="s">
        <v>1149</v>
      </c>
      <c r="B321" s="12" t="s">
        <v>1047</v>
      </c>
    </row>
    <row r="322" spans="1:2" x14ac:dyDescent="0.2">
      <c r="A322" s="12" t="s">
        <v>768</v>
      </c>
      <c r="B322" s="12" t="s">
        <v>769</v>
      </c>
    </row>
    <row r="323" spans="1:2" x14ac:dyDescent="0.2">
      <c r="A323" s="12" t="s">
        <v>770</v>
      </c>
      <c r="B323" s="12" t="s">
        <v>771</v>
      </c>
    </row>
    <row r="324" spans="1:2" x14ac:dyDescent="0.2">
      <c r="A324" s="12" t="s">
        <v>772</v>
      </c>
      <c r="B324" s="12" t="s">
        <v>773</v>
      </c>
    </row>
    <row r="325" spans="1:2" x14ac:dyDescent="0.2">
      <c r="A325" s="12" t="s">
        <v>1150</v>
      </c>
      <c r="B325" s="12" t="s">
        <v>1048</v>
      </c>
    </row>
    <row r="326" spans="1:2" x14ac:dyDescent="0.2">
      <c r="A326" s="12" t="s">
        <v>774</v>
      </c>
      <c r="B326" s="12" t="s">
        <v>775</v>
      </c>
    </row>
    <row r="327" spans="1:2" x14ac:dyDescent="0.2">
      <c r="A327" s="12" t="s">
        <v>1151</v>
      </c>
      <c r="B327" s="12" t="s">
        <v>1049</v>
      </c>
    </row>
    <row r="328" spans="1:2" x14ac:dyDescent="0.2">
      <c r="A328" s="12" t="s">
        <v>776</v>
      </c>
      <c r="B328" s="12" t="s">
        <v>777</v>
      </c>
    </row>
    <row r="329" spans="1:2" x14ac:dyDescent="0.2">
      <c r="A329" s="12" t="s">
        <v>1152</v>
      </c>
      <c r="B329" s="12" t="s">
        <v>1050</v>
      </c>
    </row>
    <row r="330" spans="1:2" x14ac:dyDescent="0.2">
      <c r="A330" s="12" t="s">
        <v>778</v>
      </c>
      <c r="B330" s="12" t="s">
        <v>779</v>
      </c>
    </row>
    <row r="331" spans="1:2" x14ac:dyDescent="0.2">
      <c r="A331" s="12" t="s">
        <v>780</v>
      </c>
      <c r="B331" s="12" t="s">
        <v>781</v>
      </c>
    </row>
    <row r="332" spans="1:2" x14ac:dyDescent="0.2">
      <c r="A332" s="12" t="s">
        <v>1153</v>
      </c>
      <c r="B332" s="12" t="s">
        <v>1051</v>
      </c>
    </row>
    <row r="333" spans="1:2" x14ac:dyDescent="0.2">
      <c r="A333" s="12" t="s">
        <v>782</v>
      </c>
      <c r="B333" s="12" t="s">
        <v>783</v>
      </c>
    </row>
    <row r="334" spans="1:2" x14ac:dyDescent="0.2">
      <c r="A334" s="12" t="s">
        <v>784</v>
      </c>
      <c r="B334" s="12" t="s">
        <v>785</v>
      </c>
    </row>
    <row r="335" spans="1:2" x14ac:dyDescent="0.2">
      <c r="A335" s="12" t="s">
        <v>1154</v>
      </c>
      <c r="B335" s="12" t="s">
        <v>1052</v>
      </c>
    </row>
    <row r="336" spans="1:2" x14ac:dyDescent="0.2">
      <c r="A336" s="12" t="s">
        <v>1155</v>
      </c>
      <c r="B336" s="12" t="s">
        <v>1053</v>
      </c>
    </row>
    <row r="337" spans="1:2" x14ac:dyDescent="0.2">
      <c r="A337" s="12" t="s">
        <v>786</v>
      </c>
      <c r="B337" s="12" t="s">
        <v>787</v>
      </c>
    </row>
    <row r="338" spans="1:2" x14ac:dyDescent="0.2">
      <c r="A338" s="12" t="s">
        <v>788</v>
      </c>
      <c r="B338" s="12" t="s">
        <v>789</v>
      </c>
    </row>
    <row r="339" spans="1:2" x14ac:dyDescent="0.2">
      <c r="A339" s="12" t="s">
        <v>792</v>
      </c>
      <c r="B339" s="12" t="s">
        <v>793</v>
      </c>
    </row>
    <row r="340" spans="1:2" x14ac:dyDescent="0.2">
      <c r="A340" s="12" t="s">
        <v>790</v>
      </c>
      <c r="B340" s="12" t="s">
        <v>791</v>
      </c>
    </row>
    <row r="341" spans="1:2" x14ac:dyDescent="0.2">
      <c r="A341" s="12" t="s">
        <v>794</v>
      </c>
      <c r="B341" s="12" t="s">
        <v>795</v>
      </c>
    </row>
    <row r="342" spans="1:2" x14ac:dyDescent="0.2">
      <c r="A342" s="12" t="s">
        <v>1156</v>
      </c>
      <c r="B342" s="12" t="s">
        <v>1054</v>
      </c>
    </row>
    <row r="343" spans="1:2" x14ac:dyDescent="0.2">
      <c r="A343" s="12" t="s">
        <v>796</v>
      </c>
      <c r="B343" s="12" t="s">
        <v>797</v>
      </c>
    </row>
    <row r="344" spans="1:2" x14ac:dyDescent="0.2">
      <c r="A344" s="12" t="s">
        <v>798</v>
      </c>
      <c r="B344" s="12" t="s">
        <v>799</v>
      </c>
    </row>
    <row r="345" spans="1:2" x14ac:dyDescent="0.2">
      <c r="A345" s="12" t="s">
        <v>800</v>
      </c>
      <c r="B345" s="12" t="s">
        <v>801</v>
      </c>
    </row>
    <row r="346" spans="1:2" x14ac:dyDescent="0.2">
      <c r="A346" s="12" t="s">
        <v>802</v>
      </c>
      <c r="B346" s="12" t="s">
        <v>803</v>
      </c>
    </row>
    <row r="347" spans="1:2" x14ac:dyDescent="0.2">
      <c r="A347" s="12" t="s">
        <v>804</v>
      </c>
      <c r="B347" s="12" t="s">
        <v>805</v>
      </c>
    </row>
    <row r="348" spans="1:2" x14ac:dyDescent="0.2">
      <c r="A348" s="12" t="s">
        <v>806</v>
      </c>
      <c r="B348" s="12" t="s">
        <v>807</v>
      </c>
    </row>
    <row r="349" spans="1:2" x14ac:dyDescent="0.2">
      <c r="A349" s="12" t="s">
        <v>808</v>
      </c>
      <c r="B349" s="12" t="s">
        <v>809</v>
      </c>
    </row>
    <row r="350" spans="1:2" x14ac:dyDescent="0.2">
      <c r="A350" s="12" t="s">
        <v>810</v>
      </c>
      <c r="B350" s="12" t="s">
        <v>811</v>
      </c>
    </row>
    <row r="351" spans="1:2" x14ac:dyDescent="0.2">
      <c r="A351" s="12" t="s">
        <v>812</v>
      </c>
      <c r="B351" s="12" t="s">
        <v>813</v>
      </c>
    </row>
    <row r="352" spans="1:2" x14ac:dyDescent="0.2">
      <c r="A352" s="12" t="s">
        <v>814</v>
      </c>
      <c r="B352" s="12" t="s">
        <v>815</v>
      </c>
    </row>
    <row r="353" spans="1:2" x14ac:dyDescent="0.2">
      <c r="A353" s="12" t="s">
        <v>1157</v>
      </c>
      <c r="B353" s="12" t="s">
        <v>1055</v>
      </c>
    </row>
    <row r="354" spans="1:2" x14ac:dyDescent="0.2">
      <c r="A354" s="12" t="s">
        <v>1158</v>
      </c>
      <c r="B354" s="12" t="s">
        <v>1056</v>
      </c>
    </row>
    <row r="355" spans="1:2" x14ac:dyDescent="0.2">
      <c r="A355" s="12" t="s">
        <v>816</v>
      </c>
      <c r="B355" s="12" t="s">
        <v>817</v>
      </c>
    </row>
    <row r="356" spans="1:2" x14ac:dyDescent="0.2">
      <c r="A356" s="12" t="s">
        <v>818</v>
      </c>
      <c r="B356" s="12" t="s">
        <v>819</v>
      </c>
    </row>
    <row r="357" spans="1:2" x14ac:dyDescent="0.2">
      <c r="A357" s="12" t="s">
        <v>1159</v>
      </c>
      <c r="B357" s="12" t="s">
        <v>1057</v>
      </c>
    </row>
    <row r="358" spans="1:2" x14ac:dyDescent="0.2">
      <c r="A358" s="12" t="s">
        <v>820</v>
      </c>
      <c r="B358" s="12" t="s">
        <v>821</v>
      </c>
    </row>
    <row r="359" spans="1:2" x14ac:dyDescent="0.2">
      <c r="A359" s="12" t="s">
        <v>822</v>
      </c>
      <c r="B359" s="12" t="s">
        <v>823</v>
      </c>
    </row>
    <row r="360" spans="1:2" x14ac:dyDescent="0.2">
      <c r="A360" s="12" t="s">
        <v>1160</v>
      </c>
      <c r="B360" s="12" t="s">
        <v>1058</v>
      </c>
    </row>
    <row r="361" spans="1:2" x14ac:dyDescent="0.2">
      <c r="A361" s="12" t="s">
        <v>1161</v>
      </c>
      <c r="B361" s="12" t="s">
        <v>1059</v>
      </c>
    </row>
    <row r="362" spans="1:2" x14ac:dyDescent="0.2">
      <c r="A362" s="12" t="s">
        <v>824</v>
      </c>
      <c r="B362" s="12" t="s">
        <v>825</v>
      </c>
    </row>
    <row r="363" spans="1:2" x14ac:dyDescent="0.2">
      <c r="A363" s="12" t="s">
        <v>826</v>
      </c>
      <c r="B363" s="12" t="s">
        <v>827</v>
      </c>
    </row>
    <row r="364" spans="1:2" x14ac:dyDescent="0.2">
      <c r="A364" s="12" t="s">
        <v>828</v>
      </c>
      <c r="B364" s="12" t="s">
        <v>829</v>
      </c>
    </row>
    <row r="365" spans="1:2" x14ac:dyDescent="0.2">
      <c r="A365" s="12" t="s">
        <v>830</v>
      </c>
      <c r="B365" s="12" t="s">
        <v>831</v>
      </c>
    </row>
    <row r="366" spans="1:2" x14ac:dyDescent="0.2">
      <c r="A366" s="12" t="s">
        <v>1162</v>
      </c>
      <c r="B366" s="12" t="s">
        <v>1060</v>
      </c>
    </row>
    <row r="367" spans="1:2" x14ac:dyDescent="0.2">
      <c r="A367" s="12" t="s">
        <v>832</v>
      </c>
      <c r="B367" s="12" t="s">
        <v>833</v>
      </c>
    </row>
    <row r="368" spans="1:2" x14ac:dyDescent="0.2">
      <c r="A368" s="12" t="s">
        <v>834</v>
      </c>
      <c r="B368" s="12" t="s">
        <v>835</v>
      </c>
    </row>
    <row r="369" spans="1:2" x14ac:dyDescent="0.2">
      <c r="A369" s="12" t="s">
        <v>836</v>
      </c>
      <c r="B369" s="12" t="s">
        <v>837</v>
      </c>
    </row>
    <row r="370" spans="1:2" x14ac:dyDescent="0.2">
      <c r="A370" s="12" t="s">
        <v>838</v>
      </c>
      <c r="B370" s="12" t="s">
        <v>839</v>
      </c>
    </row>
    <row r="371" spans="1:2" x14ac:dyDescent="0.2">
      <c r="A371" s="12" t="s">
        <v>840</v>
      </c>
      <c r="B371" s="12" t="s">
        <v>841</v>
      </c>
    </row>
    <row r="372" spans="1:2" x14ac:dyDescent="0.2">
      <c r="A372" s="12" t="s">
        <v>842</v>
      </c>
      <c r="B372" s="12" t="s">
        <v>843</v>
      </c>
    </row>
    <row r="373" spans="1:2" x14ac:dyDescent="0.2">
      <c r="A373" s="12" t="s">
        <v>1163</v>
      </c>
      <c r="B373" s="12" t="s">
        <v>1061</v>
      </c>
    </row>
    <row r="374" spans="1:2" x14ac:dyDescent="0.2">
      <c r="A374" s="12" t="s">
        <v>844</v>
      </c>
      <c r="B374" s="12" t="s">
        <v>845</v>
      </c>
    </row>
    <row r="375" spans="1:2" x14ac:dyDescent="0.2">
      <c r="A375" s="12" t="s">
        <v>846</v>
      </c>
      <c r="B375" s="12" t="s">
        <v>847</v>
      </c>
    </row>
    <row r="376" spans="1:2" x14ac:dyDescent="0.2">
      <c r="A376" s="12" t="s">
        <v>848</v>
      </c>
      <c r="B376" s="12" t="s">
        <v>849</v>
      </c>
    </row>
    <row r="377" spans="1:2" x14ac:dyDescent="0.2">
      <c r="A377" s="12" t="s">
        <v>1164</v>
      </c>
      <c r="B377" s="12" t="s">
        <v>850</v>
      </c>
    </row>
    <row r="378" spans="1:2" x14ac:dyDescent="0.2">
      <c r="A378" s="12" t="s">
        <v>851</v>
      </c>
      <c r="B378" s="12" t="s">
        <v>852</v>
      </c>
    </row>
    <row r="379" spans="1:2" x14ac:dyDescent="0.2">
      <c r="A379" s="12" t="s">
        <v>1165</v>
      </c>
      <c r="B379" s="12" t="s">
        <v>1062</v>
      </c>
    </row>
    <row r="380" spans="1:2" x14ac:dyDescent="0.2">
      <c r="A380" s="12" t="s">
        <v>853</v>
      </c>
      <c r="B380" s="12" t="s">
        <v>854</v>
      </c>
    </row>
    <row r="381" spans="1:2" x14ac:dyDescent="0.2">
      <c r="A381" s="12" t="s">
        <v>855</v>
      </c>
      <c r="B381" s="12" t="s">
        <v>856</v>
      </c>
    </row>
    <row r="382" spans="1:2" x14ac:dyDescent="0.2">
      <c r="A382" s="12" t="s">
        <v>859</v>
      </c>
      <c r="B382" s="12" t="s">
        <v>860</v>
      </c>
    </row>
    <row r="383" spans="1:2" x14ac:dyDescent="0.2">
      <c r="A383" s="12" t="s">
        <v>857</v>
      </c>
      <c r="B383" s="12" t="s">
        <v>858</v>
      </c>
    </row>
    <row r="384" spans="1:2" x14ac:dyDescent="0.2">
      <c r="A384" s="12" t="s">
        <v>861</v>
      </c>
      <c r="B384" s="12" t="s">
        <v>862</v>
      </c>
    </row>
    <row r="385" spans="1:2" x14ac:dyDescent="0.2">
      <c r="A385" s="12" t="s">
        <v>863</v>
      </c>
      <c r="B385" s="12" t="s">
        <v>864</v>
      </c>
    </row>
    <row r="386" spans="1:2" x14ac:dyDescent="0.2">
      <c r="A386" s="12" t="s">
        <v>865</v>
      </c>
      <c r="B386" s="12" t="s">
        <v>866</v>
      </c>
    </row>
    <row r="387" spans="1:2" x14ac:dyDescent="0.2">
      <c r="A387" s="12" t="s">
        <v>867</v>
      </c>
      <c r="B387" s="12" t="s">
        <v>868</v>
      </c>
    </row>
    <row r="388" spans="1:2" x14ac:dyDescent="0.2">
      <c r="A388" s="12" t="s">
        <v>869</v>
      </c>
      <c r="B388" s="12" t="s">
        <v>870</v>
      </c>
    </row>
    <row r="389" spans="1:2" x14ac:dyDescent="0.2">
      <c r="A389" s="12" t="s">
        <v>871</v>
      </c>
      <c r="B389" s="12" t="s">
        <v>872</v>
      </c>
    </row>
    <row r="390" spans="1:2" x14ac:dyDescent="0.2">
      <c r="A390" s="12" t="s">
        <v>873</v>
      </c>
      <c r="B390" s="12" t="s">
        <v>874</v>
      </c>
    </row>
    <row r="391" spans="1:2" x14ac:dyDescent="0.2">
      <c r="A391" s="12" t="s">
        <v>875</v>
      </c>
      <c r="B391" s="12" t="s">
        <v>876</v>
      </c>
    </row>
    <row r="392" spans="1:2" x14ac:dyDescent="0.2">
      <c r="A392" s="12" t="s">
        <v>877</v>
      </c>
      <c r="B392" s="12" t="s">
        <v>878</v>
      </c>
    </row>
    <row r="393" spans="1:2" x14ac:dyDescent="0.2">
      <c r="A393" s="12" t="s">
        <v>879</v>
      </c>
      <c r="B393" s="12" t="s">
        <v>880</v>
      </c>
    </row>
    <row r="394" spans="1:2" x14ac:dyDescent="0.2">
      <c r="A394" s="12" t="s">
        <v>881</v>
      </c>
      <c r="B394" s="12" t="s">
        <v>882</v>
      </c>
    </row>
    <row r="395" spans="1:2" x14ac:dyDescent="0.2">
      <c r="A395" s="12" t="s">
        <v>883</v>
      </c>
      <c r="B395" s="12" t="s">
        <v>884</v>
      </c>
    </row>
    <row r="396" spans="1:2" x14ac:dyDescent="0.2">
      <c r="A396" s="12" t="s">
        <v>885</v>
      </c>
      <c r="B396" s="12" t="s">
        <v>886</v>
      </c>
    </row>
    <row r="397" spans="1:2" x14ac:dyDescent="0.2">
      <c r="A397" s="12" t="s">
        <v>887</v>
      </c>
      <c r="B397" s="12" t="s">
        <v>888</v>
      </c>
    </row>
    <row r="398" spans="1:2" x14ac:dyDescent="0.2">
      <c r="A398" s="12" t="s">
        <v>1166</v>
      </c>
      <c r="B398" s="12" t="s">
        <v>1063</v>
      </c>
    </row>
    <row r="399" spans="1:2" x14ac:dyDescent="0.2">
      <c r="A399" s="12" t="s">
        <v>889</v>
      </c>
      <c r="B399" s="12" t="s">
        <v>890</v>
      </c>
    </row>
    <row r="400" spans="1:2" x14ac:dyDescent="0.2">
      <c r="A400" s="12" t="s">
        <v>891</v>
      </c>
      <c r="B400" s="12" t="s">
        <v>892</v>
      </c>
    </row>
    <row r="401" spans="1:2" x14ac:dyDescent="0.2">
      <c r="A401" s="12" t="s">
        <v>893</v>
      </c>
      <c r="B401" s="12" t="s">
        <v>894</v>
      </c>
    </row>
    <row r="402" spans="1:2" x14ac:dyDescent="0.2">
      <c r="A402" s="12" t="s">
        <v>895</v>
      </c>
      <c r="B402" s="12" t="s">
        <v>896</v>
      </c>
    </row>
    <row r="403" spans="1:2" x14ac:dyDescent="0.2">
      <c r="A403" s="12" t="s">
        <v>897</v>
      </c>
      <c r="B403" s="12" t="s">
        <v>898</v>
      </c>
    </row>
    <row r="404" spans="1:2" x14ac:dyDescent="0.2">
      <c r="A404" s="12" t="s">
        <v>901</v>
      </c>
      <c r="B404" s="12" t="s">
        <v>902</v>
      </c>
    </row>
    <row r="405" spans="1:2" x14ac:dyDescent="0.2">
      <c r="A405" s="12" t="s">
        <v>899</v>
      </c>
      <c r="B405" s="12" t="s">
        <v>900</v>
      </c>
    </row>
    <row r="406" spans="1:2" x14ac:dyDescent="0.2">
      <c r="A406" s="12" t="s">
        <v>903</v>
      </c>
      <c r="B406" s="12" t="s">
        <v>904</v>
      </c>
    </row>
    <row r="407" spans="1:2" x14ac:dyDescent="0.2">
      <c r="A407" s="12" t="s">
        <v>905</v>
      </c>
      <c r="B407" s="12" t="s">
        <v>906</v>
      </c>
    </row>
    <row r="408" spans="1:2" x14ac:dyDescent="0.2">
      <c r="A408" s="12" t="s">
        <v>907</v>
      </c>
      <c r="B408" s="12" t="s">
        <v>908</v>
      </c>
    </row>
    <row r="409" spans="1:2" x14ac:dyDescent="0.2">
      <c r="A409" s="12" t="s">
        <v>1167</v>
      </c>
      <c r="B409" s="12" t="s">
        <v>1064</v>
      </c>
    </row>
    <row r="410" spans="1:2" x14ac:dyDescent="0.2">
      <c r="A410" s="12" t="s">
        <v>1168</v>
      </c>
      <c r="B410" s="12" t="s">
        <v>1065</v>
      </c>
    </row>
    <row r="411" spans="1:2" x14ac:dyDescent="0.2">
      <c r="A411" s="12" t="s">
        <v>909</v>
      </c>
      <c r="B411" s="12" t="s">
        <v>910</v>
      </c>
    </row>
    <row r="412" spans="1:2" x14ac:dyDescent="0.2">
      <c r="A412" s="12" t="s">
        <v>911</v>
      </c>
      <c r="B412" s="12" t="s">
        <v>912</v>
      </c>
    </row>
    <row r="413" spans="1:2" x14ac:dyDescent="0.2">
      <c r="A413" s="12" t="s">
        <v>1169</v>
      </c>
      <c r="B413" s="12" t="s">
        <v>1066</v>
      </c>
    </row>
    <row r="414" spans="1:2" x14ac:dyDescent="0.2">
      <c r="A414" s="12" t="s">
        <v>913</v>
      </c>
      <c r="B414" s="12" t="s">
        <v>914</v>
      </c>
    </row>
    <row r="415" spans="1:2" x14ac:dyDescent="0.2">
      <c r="A415" s="12" t="s">
        <v>915</v>
      </c>
      <c r="B415" s="12" t="s">
        <v>916</v>
      </c>
    </row>
    <row r="416" spans="1:2" x14ac:dyDescent="0.2">
      <c r="A416" s="12" t="s">
        <v>917</v>
      </c>
      <c r="B416" s="12" t="s">
        <v>918</v>
      </c>
    </row>
    <row r="417" spans="1:2" x14ac:dyDescent="0.2">
      <c r="A417" s="12" t="s">
        <v>919</v>
      </c>
      <c r="B417" s="12" t="s">
        <v>920</v>
      </c>
    </row>
    <row r="418" spans="1:2" x14ac:dyDescent="0.2">
      <c r="A418" s="12" t="s">
        <v>921</v>
      </c>
      <c r="B418" s="12" t="s">
        <v>922</v>
      </c>
    </row>
    <row r="419" spans="1:2" x14ac:dyDescent="0.2">
      <c r="A419" s="12" t="s">
        <v>923</v>
      </c>
      <c r="B419" s="12" t="s">
        <v>924</v>
      </c>
    </row>
    <row r="420" spans="1:2" x14ac:dyDescent="0.2">
      <c r="A420" s="12" t="s">
        <v>925</v>
      </c>
      <c r="B420" s="12" t="s">
        <v>926</v>
      </c>
    </row>
    <row r="421" spans="1:2" x14ac:dyDescent="0.2">
      <c r="A421" s="12" t="s">
        <v>927</v>
      </c>
      <c r="B421" s="12" t="s">
        <v>928</v>
      </c>
    </row>
    <row r="422" spans="1:2" x14ac:dyDescent="0.2">
      <c r="A422" s="12" t="s">
        <v>929</v>
      </c>
      <c r="B422" s="12" t="s">
        <v>930</v>
      </c>
    </row>
    <row r="423" spans="1:2" x14ac:dyDescent="0.2">
      <c r="A423" s="12" t="s">
        <v>931</v>
      </c>
      <c r="B423" s="12" t="s">
        <v>932</v>
      </c>
    </row>
    <row r="424" spans="1:2" x14ac:dyDescent="0.2">
      <c r="A424" s="12" t="s">
        <v>933</v>
      </c>
      <c r="B424" s="12" t="s">
        <v>934</v>
      </c>
    </row>
    <row r="425" spans="1:2" x14ac:dyDescent="0.2">
      <c r="A425" s="12" t="s">
        <v>935</v>
      </c>
      <c r="B425" s="12" t="s">
        <v>936</v>
      </c>
    </row>
    <row r="426" spans="1:2" x14ac:dyDescent="0.2">
      <c r="A426" s="12" t="s">
        <v>937</v>
      </c>
      <c r="B426" s="12" t="s">
        <v>938</v>
      </c>
    </row>
    <row r="427" spans="1:2" x14ac:dyDescent="0.2">
      <c r="A427" s="12" t="s">
        <v>939</v>
      </c>
      <c r="B427" s="12" t="s">
        <v>940</v>
      </c>
    </row>
    <row r="428" spans="1:2" x14ac:dyDescent="0.2">
      <c r="A428" s="12" t="s">
        <v>941</v>
      </c>
      <c r="B428" s="12" t="s">
        <v>942</v>
      </c>
    </row>
    <row r="429" spans="1:2" x14ac:dyDescent="0.2">
      <c r="A429" s="12" t="s">
        <v>1170</v>
      </c>
      <c r="B429" s="12" t="s">
        <v>1067</v>
      </c>
    </row>
    <row r="430" spans="1:2" x14ac:dyDescent="0.2">
      <c r="A430" s="12" t="s">
        <v>943</v>
      </c>
      <c r="B430" s="12" t="s">
        <v>944</v>
      </c>
    </row>
    <row r="431" spans="1:2" x14ac:dyDescent="0.2">
      <c r="A431" s="12" t="s">
        <v>945</v>
      </c>
      <c r="B431" s="12" t="s">
        <v>946</v>
      </c>
    </row>
    <row r="432" spans="1:2" x14ac:dyDescent="0.2">
      <c r="A432" s="12" t="s">
        <v>1171</v>
      </c>
      <c r="B432" s="12" t="s">
        <v>1068</v>
      </c>
    </row>
    <row r="433" spans="1:2" x14ac:dyDescent="0.2">
      <c r="A433" s="12" t="s">
        <v>947</v>
      </c>
      <c r="B433" s="12" t="s">
        <v>948</v>
      </c>
    </row>
    <row r="434" spans="1:2" x14ac:dyDescent="0.2">
      <c r="A434" s="12" t="s">
        <v>1172</v>
      </c>
      <c r="B434" s="12" t="s">
        <v>1069</v>
      </c>
    </row>
    <row r="435" spans="1:2" x14ac:dyDescent="0.2">
      <c r="A435" s="12" t="s">
        <v>951</v>
      </c>
      <c r="B435" s="12" t="s">
        <v>952</v>
      </c>
    </row>
    <row r="436" spans="1:2" x14ac:dyDescent="0.2">
      <c r="A436" s="12" t="s">
        <v>949</v>
      </c>
      <c r="B436" s="12" t="s">
        <v>950</v>
      </c>
    </row>
    <row r="437" spans="1:2" x14ac:dyDescent="0.2">
      <c r="A437" s="12" t="s">
        <v>1173</v>
      </c>
      <c r="B437" s="12" t="s">
        <v>1070</v>
      </c>
    </row>
    <row r="438" spans="1:2" x14ac:dyDescent="0.2">
      <c r="A438" s="12" t="s">
        <v>953</v>
      </c>
      <c r="B438" s="12" t="s">
        <v>954</v>
      </c>
    </row>
    <row r="439" spans="1:2" x14ac:dyDescent="0.2">
      <c r="A439" s="12" t="s">
        <v>955</v>
      </c>
      <c r="B439" s="12" t="s">
        <v>37</v>
      </c>
    </row>
    <row r="440" spans="1:2" x14ac:dyDescent="0.2">
      <c r="A440" s="12" t="s">
        <v>956</v>
      </c>
      <c r="B440" s="12" t="s">
        <v>957</v>
      </c>
    </row>
    <row r="441" spans="1:2" x14ac:dyDescent="0.2">
      <c r="A441" s="12" t="s">
        <v>958</v>
      </c>
      <c r="B441" s="12" t="s">
        <v>959</v>
      </c>
    </row>
    <row r="442" spans="1:2" x14ac:dyDescent="0.2">
      <c r="A442" s="12" t="s">
        <v>960</v>
      </c>
      <c r="B442" s="12" t="s">
        <v>961</v>
      </c>
    </row>
    <row r="443" spans="1:2" x14ac:dyDescent="0.2">
      <c r="A443" s="12" t="s">
        <v>962</v>
      </c>
      <c r="B443" s="12" t="s">
        <v>963</v>
      </c>
    </row>
    <row r="444" spans="1:2" x14ac:dyDescent="0.2">
      <c r="A444" s="12" t="s">
        <v>964</v>
      </c>
      <c r="B444" s="12" t="s">
        <v>965</v>
      </c>
    </row>
    <row r="445" spans="1:2" x14ac:dyDescent="0.2">
      <c r="A445" s="12" t="s">
        <v>966</v>
      </c>
      <c r="B445" s="12" t="s">
        <v>967</v>
      </c>
    </row>
    <row r="446" spans="1:2" x14ac:dyDescent="0.2">
      <c r="A446" s="48" t="s">
        <v>1177</v>
      </c>
      <c r="B446" s="48" t="s">
        <v>1176</v>
      </c>
    </row>
  </sheetData>
  <sheetProtection algorithmName="SHA-512" hashValue="AsI8vRCqjwehltt918BtFeGxZfbWSSsYsjGIPTiC9ztruEJEz4qcLTUoXWwJC3fSWAxvafzZNa1Hm6efhZGPRQ==" saltValue="Skns/0lV83UqMvNfBEwlkA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F54"/>
  <sheetViews>
    <sheetView workbookViewId="0">
      <selection activeCell="J29" sqref="J29"/>
    </sheetView>
  </sheetViews>
  <sheetFormatPr defaultColWidth="12.85546875" defaultRowHeight="12.75" x14ac:dyDescent="0.2"/>
  <cols>
    <col min="1" max="1" width="23.5703125" style="7" customWidth="1"/>
    <col min="2" max="2" width="19.140625" style="7" customWidth="1"/>
    <col min="3" max="3" width="10.42578125" style="7" customWidth="1"/>
    <col min="4" max="4" width="2.85546875" style="7" customWidth="1"/>
    <col min="5" max="16384" width="12.85546875" style="7"/>
  </cols>
  <sheetData>
    <row r="1" spans="1:6" x14ac:dyDescent="0.2">
      <c r="A1" s="438" t="s">
        <v>171</v>
      </c>
      <c r="B1" s="439"/>
      <c r="C1" s="440"/>
    </row>
    <row r="3" spans="1:6" ht="15" x14ac:dyDescent="0.2">
      <c r="A3" s="8" t="s">
        <v>169</v>
      </c>
      <c r="B3" s="160" t="s">
        <v>1628</v>
      </c>
      <c r="C3" s="10"/>
    </row>
    <row r="4" spans="1:6" ht="15" x14ac:dyDescent="0.2">
      <c r="B4" s="11" t="s">
        <v>161</v>
      </c>
      <c r="C4" s="11" t="s">
        <v>165</v>
      </c>
    </row>
    <row r="5" spans="1:6" ht="15" x14ac:dyDescent="0.2">
      <c r="B5" s="11" t="s">
        <v>166</v>
      </c>
      <c r="C5" s="11" t="s">
        <v>167</v>
      </c>
    </row>
    <row r="6" spans="1:6" ht="15" x14ac:dyDescent="0.2">
      <c r="B6" s="10" t="s">
        <v>159</v>
      </c>
      <c r="C6" s="10" t="s">
        <v>162</v>
      </c>
    </row>
    <row r="7" spans="1:6" ht="15" x14ac:dyDescent="0.2">
      <c r="B7" s="10" t="s">
        <v>168</v>
      </c>
      <c r="C7" s="10" t="s">
        <v>163</v>
      </c>
      <c r="F7" s="8"/>
    </row>
    <row r="8" spans="1:6" ht="15" x14ac:dyDescent="0.2">
      <c r="B8" s="11" t="s">
        <v>160</v>
      </c>
      <c r="C8" s="11" t="s">
        <v>164</v>
      </c>
    </row>
    <row r="9" spans="1:6" ht="15" x14ac:dyDescent="0.2">
      <c r="B9" s="10"/>
      <c r="C9" s="10"/>
    </row>
    <row r="10" spans="1:6" ht="15" x14ac:dyDescent="0.2">
      <c r="B10" s="11"/>
      <c r="C10" s="11"/>
    </row>
    <row r="12" spans="1:6" x14ac:dyDescent="0.2">
      <c r="A12" s="8" t="s">
        <v>170</v>
      </c>
      <c r="B12" s="13" t="s">
        <v>1295</v>
      </c>
      <c r="C12" s="13" t="s">
        <v>1556</v>
      </c>
    </row>
    <row r="13" spans="1:6" x14ac:dyDescent="0.2">
      <c r="B13" s="13" t="s">
        <v>1287</v>
      </c>
      <c r="C13" s="13" t="s">
        <v>1557</v>
      </c>
    </row>
    <row r="14" spans="1:6" x14ac:dyDescent="0.2">
      <c r="B14" s="13"/>
      <c r="C14" s="13"/>
      <c r="F14" s="14"/>
    </row>
    <row r="15" spans="1:6" x14ac:dyDescent="0.2">
      <c r="B15" s="13"/>
      <c r="C15" s="13"/>
      <c r="F15" s="14"/>
    </row>
    <row r="16" spans="1:6" ht="15" x14ac:dyDescent="0.2">
      <c r="B16" s="10"/>
      <c r="C16" s="13"/>
    </row>
    <row r="17" spans="2:3" x14ac:dyDescent="0.2">
      <c r="B17" s="13"/>
      <c r="C17" s="13"/>
    </row>
    <row r="18" spans="2:3" ht="15" x14ac:dyDescent="0.2">
      <c r="B18" s="10"/>
      <c r="C18" s="13"/>
    </row>
    <row r="19" spans="2:3" ht="15" x14ac:dyDescent="0.2">
      <c r="B19" s="10"/>
      <c r="C19" s="13"/>
    </row>
    <row r="20" spans="2:3" x14ac:dyDescent="0.2">
      <c r="B20" s="13"/>
      <c r="C20" s="13"/>
    </row>
    <row r="21" spans="2:3" x14ac:dyDescent="0.2">
      <c r="B21" s="13"/>
      <c r="C21" s="13"/>
    </row>
    <row r="33" spans="2:3" ht="15" x14ac:dyDescent="0.2">
      <c r="B33" s="9"/>
      <c r="C33" s="8"/>
    </row>
    <row r="34" spans="2:3" ht="15" x14ac:dyDescent="0.2">
      <c r="B34" s="9"/>
      <c r="C34" s="8"/>
    </row>
    <row r="35" spans="2:3" ht="15" x14ac:dyDescent="0.2">
      <c r="B35" s="9"/>
      <c r="C35" s="8"/>
    </row>
    <row r="36" spans="2:3" ht="15" x14ac:dyDescent="0.2">
      <c r="B36" s="9"/>
      <c r="C36" s="8"/>
    </row>
    <row r="37" spans="2:3" ht="15" x14ac:dyDescent="0.2">
      <c r="B37" s="9"/>
      <c r="C37" s="8"/>
    </row>
    <row r="38" spans="2:3" ht="15" x14ac:dyDescent="0.2">
      <c r="B38" s="9"/>
      <c r="C38" s="8"/>
    </row>
    <row r="39" spans="2:3" ht="15" x14ac:dyDescent="0.2">
      <c r="B39" s="9"/>
      <c r="C39" s="8"/>
    </row>
    <row r="40" spans="2:3" ht="15" x14ac:dyDescent="0.2">
      <c r="B40" s="9"/>
      <c r="C40" s="8"/>
    </row>
    <row r="41" spans="2:3" ht="15" x14ac:dyDescent="0.2">
      <c r="B41" s="9"/>
      <c r="C41" s="8"/>
    </row>
    <row r="42" spans="2:3" ht="15" x14ac:dyDescent="0.2">
      <c r="B42" s="9"/>
      <c r="C42" s="8"/>
    </row>
    <row r="43" spans="2:3" ht="15" x14ac:dyDescent="0.2">
      <c r="B43" s="9"/>
      <c r="C43" s="8"/>
    </row>
    <row r="44" spans="2:3" ht="15" x14ac:dyDescent="0.2">
      <c r="B44" s="9"/>
      <c r="C44" s="8"/>
    </row>
    <row r="45" spans="2:3" ht="15" x14ac:dyDescent="0.2">
      <c r="B45" s="9"/>
      <c r="C45" s="8"/>
    </row>
    <row r="46" spans="2:3" ht="15" x14ac:dyDescent="0.2">
      <c r="B46" s="9"/>
      <c r="C46" s="8"/>
    </row>
    <row r="47" spans="2:3" ht="15" x14ac:dyDescent="0.2">
      <c r="B47" s="9"/>
      <c r="C47" s="8"/>
    </row>
    <row r="48" spans="2:3" ht="15" x14ac:dyDescent="0.2">
      <c r="B48" s="9"/>
      <c r="C48" s="8"/>
    </row>
    <row r="49" spans="2:3" ht="15" x14ac:dyDescent="0.2">
      <c r="B49" s="9"/>
      <c r="C49" s="8"/>
    </row>
    <row r="50" spans="2:3" ht="15" x14ac:dyDescent="0.2">
      <c r="B50" s="9"/>
      <c r="C50" s="8"/>
    </row>
    <row r="51" spans="2:3" ht="15" x14ac:dyDescent="0.2">
      <c r="B51" s="9"/>
      <c r="C51" s="8"/>
    </row>
    <row r="52" spans="2:3" ht="15" x14ac:dyDescent="0.2">
      <c r="B52" s="9"/>
      <c r="C52" s="8"/>
    </row>
    <row r="53" spans="2:3" ht="15" x14ac:dyDescent="0.2">
      <c r="B53" s="9"/>
      <c r="C53" s="8"/>
    </row>
    <row r="54" spans="2:3" ht="15" x14ac:dyDescent="0.2">
      <c r="B54" s="9"/>
      <c r="C54" s="8"/>
    </row>
  </sheetData>
  <sheetProtection algorithmName="SHA-512" hashValue="JCBKFuCITuJZCT1CWMq4rPzYOMjP1mNHyqMiVLa+OFPXU9V37NNRkM37ALrVXnhCAT2hDfjtpjWqxIafrv+06g==" saltValue="p9lvDptVu4znl1lHStPFNg==" spinCount="100000" sheet="1" objects="1" scenarios="1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145"/>
  <sheetViews>
    <sheetView tabSelected="1" view="pageBreakPreview" topLeftCell="C1" zoomScaleNormal="70" zoomScaleSheetLayoutView="100" workbookViewId="0">
      <selection activeCell="AC6" sqref="AC6"/>
    </sheetView>
  </sheetViews>
  <sheetFormatPr defaultColWidth="9.140625" defaultRowHeight="14.1" customHeight="1" x14ac:dyDescent="0.2"/>
  <cols>
    <col min="1" max="41" width="2.85546875" style="51" customWidth="1"/>
    <col min="42" max="16384" width="9.140625" style="51"/>
  </cols>
  <sheetData>
    <row r="1" spans="1:41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" t="s">
        <v>969</v>
      </c>
      <c r="AN2" s="52">
        <v>9</v>
      </c>
      <c r="AO2" s="50"/>
    </row>
    <row r="3" spans="1:41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3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"/>
      <c r="AN3" s="54"/>
      <c r="AO3" s="50"/>
    </row>
    <row r="4" spans="1:41" ht="14.1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4.1" customHeight="1" x14ac:dyDescent="0.25">
      <c r="A7" s="50"/>
      <c r="B7" s="50"/>
      <c r="C7" s="50"/>
      <c r="D7" s="50"/>
      <c r="E7" s="50"/>
      <c r="F7" s="50"/>
      <c r="G7" s="50"/>
      <c r="H7" s="218" t="s">
        <v>1193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4.1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ht="14.1" customHeight="1" x14ac:dyDescent="0.2">
      <c r="A9" s="50"/>
      <c r="B9" s="50"/>
      <c r="C9" s="50"/>
      <c r="D9" s="50"/>
      <c r="E9" s="50"/>
      <c r="F9" s="50"/>
      <c r="G9" s="50"/>
      <c r="H9" s="50"/>
      <c r="I9" s="55"/>
      <c r="J9" s="56" t="s">
        <v>41</v>
      </c>
      <c r="K9" s="219" t="s">
        <v>26</v>
      </c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1"/>
      <c r="AF9" s="50"/>
      <c r="AG9" s="50"/>
      <c r="AH9" s="50"/>
      <c r="AI9" s="50"/>
      <c r="AJ9" s="50"/>
      <c r="AK9" s="50"/>
      <c r="AL9" s="50"/>
      <c r="AM9" s="50"/>
      <c r="AN9" s="50"/>
      <c r="AO9" s="50"/>
    </row>
    <row r="10" spans="1:41" ht="14.1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212" t="s">
        <v>42</v>
      </c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4"/>
      <c r="AF10" s="50"/>
      <c r="AG10" s="50"/>
      <c r="AH10" s="50"/>
      <c r="AI10" s="50"/>
      <c r="AJ10" s="50"/>
      <c r="AK10" s="50"/>
      <c r="AL10" s="50"/>
      <c r="AM10" s="50"/>
      <c r="AN10" s="50"/>
      <c r="AO10" s="50"/>
    </row>
    <row r="11" spans="1:41" ht="14.1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212" t="s">
        <v>33</v>
      </c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4"/>
      <c r="AF11" s="50"/>
      <c r="AG11" s="50"/>
      <c r="AH11" s="50"/>
      <c r="AI11" s="50"/>
      <c r="AJ11" s="50"/>
      <c r="AK11" s="50"/>
      <c r="AL11" s="50"/>
      <c r="AM11" s="50"/>
      <c r="AN11" s="50"/>
      <c r="AO11" s="50"/>
    </row>
    <row r="12" spans="1:41" ht="14.1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212" t="s">
        <v>27</v>
      </c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4"/>
      <c r="AF12" s="50"/>
      <c r="AG12" s="50"/>
      <c r="AH12" s="50"/>
      <c r="AI12" s="50"/>
      <c r="AJ12" s="50"/>
      <c r="AK12" s="50"/>
      <c r="AL12" s="50"/>
      <c r="AM12" s="50"/>
      <c r="AN12" s="50"/>
      <c r="AO12" s="50"/>
    </row>
    <row r="13" spans="1:41" ht="14.1" customHeigh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212" t="s">
        <v>23</v>
      </c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4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1" ht="14.1" customHeight="1" x14ac:dyDescent="0.2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215" t="s">
        <v>24</v>
      </c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7"/>
      <c r="AF14" s="50"/>
      <c r="AG14" s="50"/>
      <c r="AH14" s="50"/>
      <c r="AI14" s="50"/>
      <c r="AJ14" s="50"/>
      <c r="AK14" s="50"/>
      <c r="AL14" s="50"/>
      <c r="AM14" s="50"/>
      <c r="AN14" s="50"/>
      <c r="AO14" s="50"/>
    </row>
    <row r="15" spans="1:41" ht="14.1" customHeight="1" x14ac:dyDescent="0.2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</row>
    <row r="16" spans="1:41" ht="14.1" customHeigh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7" t="s">
        <v>43</v>
      </c>
      <c r="N16" s="208" t="s">
        <v>0</v>
      </c>
      <c r="O16" s="208"/>
      <c r="P16" s="208"/>
      <c r="Q16" s="208"/>
      <c r="R16" s="208"/>
      <c r="S16" s="208"/>
      <c r="T16" s="208"/>
      <c r="U16" s="209" t="s">
        <v>1660</v>
      </c>
      <c r="V16" s="210"/>
      <c r="W16" s="210"/>
      <c r="X16" s="210"/>
      <c r="Y16" s="210"/>
      <c r="Z16" s="210"/>
      <c r="AA16" s="210"/>
      <c r="AB16" s="210"/>
      <c r="AC16" s="210"/>
      <c r="AD16" s="211"/>
      <c r="AE16" s="50"/>
      <c r="AF16" s="58"/>
      <c r="AG16" s="50"/>
      <c r="AH16" s="50"/>
      <c r="AI16" s="50"/>
      <c r="AJ16" s="50"/>
      <c r="AK16" s="50"/>
      <c r="AL16" s="50"/>
      <c r="AM16" s="50"/>
      <c r="AN16" s="50"/>
      <c r="AO16" s="50"/>
    </row>
    <row r="17" spans="1:41" ht="14.1" customHeight="1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208" t="s">
        <v>1</v>
      </c>
      <c r="O17" s="208"/>
      <c r="P17" s="208"/>
      <c r="Q17" s="208"/>
      <c r="R17" s="208"/>
      <c r="S17" s="208"/>
      <c r="T17" s="208"/>
      <c r="U17" s="209" t="s">
        <v>1661</v>
      </c>
      <c r="V17" s="210"/>
      <c r="W17" s="210"/>
      <c r="X17" s="210"/>
      <c r="Y17" s="210"/>
      <c r="Z17" s="210"/>
      <c r="AA17" s="210"/>
      <c r="AB17" s="210"/>
      <c r="AC17" s="210"/>
      <c r="AD17" s="211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</row>
    <row r="18" spans="1:41" ht="6.9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9"/>
      <c r="AC18" s="59"/>
      <c r="AD18" s="59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</row>
    <row r="19" spans="1:41" ht="14.1" customHeigh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08" t="s">
        <v>2</v>
      </c>
      <c r="O19" s="208"/>
      <c r="P19" s="208"/>
      <c r="Q19" s="208"/>
      <c r="R19" s="208"/>
      <c r="S19" s="208"/>
      <c r="T19" s="208"/>
      <c r="U19" s="209" t="s">
        <v>1662</v>
      </c>
      <c r="V19" s="210"/>
      <c r="W19" s="210"/>
      <c r="X19" s="210"/>
      <c r="Y19" s="210"/>
      <c r="Z19" s="210"/>
      <c r="AA19" s="210"/>
      <c r="AB19" s="210"/>
      <c r="AC19" s="210"/>
      <c r="AD19" s="211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</row>
    <row r="20" spans="1:41" ht="14.1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208" t="s">
        <v>3</v>
      </c>
      <c r="O20" s="208"/>
      <c r="P20" s="208"/>
      <c r="Q20" s="208"/>
      <c r="R20" s="208"/>
      <c r="S20" s="208"/>
      <c r="T20" s="208"/>
      <c r="U20" s="209" t="s">
        <v>1663</v>
      </c>
      <c r="V20" s="210"/>
      <c r="W20" s="210"/>
      <c r="X20" s="210"/>
      <c r="Y20" s="210"/>
      <c r="Z20" s="210"/>
      <c r="AA20" s="210"/>
      <c r="AB20" s="210"/>
      <c r="AC20" s="210"/>
      <c r="AD20" s="211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1" ht="14.1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08" t="s">
        <v>4</v>
      </c>
      <c r="O21" s="208"/>
      <c r="P21" s="208"/>
      <c r="Q21" s="208"/>
      <c r="R21" s="208"/>
      <c r="S21" s="208"/>
      <c r="T21" s="208"/>
      <c r="U21" s="209" t="s">
        <v>1664</v>
      </c>
      <c r="V21" s="210"/>
      <c r="W21" s="210"/>
      <c r="X21" s="210"/>
      <c r="Y21" s="210"/>
      <c r="Z21" s="210"/>
      <c r="AA21" s="210"/>
      <c r="AB21" s="211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</row>
    <row r="22" spans="1:41" ht="14.1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208" t="s">
        <v>5</v>
      </c>
      <c r="O22" s="208"/>
      <c r="P22" s="208"/>
      <c r="Q22" s="208"/>
      <c r="R22" s="208"/>
      <c r="S22" s="208"/>
      <c r="T22" s="208"/>
      <c r="U22" s="209" t="s">
        <v>1665</v>
      </c>
      <c r="V22" s="210"/>
      <c r="W22" s="210"/>
      <c r="X22" s="210"/>
      <c r="Y22" s="210"/>
      <c r="Z22" s="211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</row>
    <row r="23" spans="1:41" ht="14.1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08" t="s">
        <v>6</v>
      </c>
      <c r="O23" s="208"/>
      <c r="P23" s="208"/>
      <c r="Q23" s="208"/>
      <c r="R23" s="208"/>
      <c r="S23" s="208"/>
      <c r="T23" s="208"/>
      <c r="U23" s="209">
        <v>55555</v>
      </c>
      <c r="V23" s="210"/>
      <c r="W23" s="210"/>
      <c r="X23" s="210"/>
      <c r="Y23" s="210"/>
      <c r="Z23" s="211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</row>
    <row r="24" spans="1:41" ht="6.95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9"/>
      <c r="AC24" s="59"/>
      <c r="AD24" s="59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1:41" ht="14.1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208" t="s">
        <v>28</v>
      </c>
      <c r="O25" s="208"/>
      <c r="P25" s="208"/>
      <c r="Q25" s="208"/>
      <c r="R25" s="208"/>
      <c r="S25" s="208"/>
      <c r="T25" s="208"/>
      <c r="U25" s="199" t="s">
        <v>1666</v>
      </c>
      <c r="V25" s="200"/>
      <c r="W25" s="200"/>
      <c r="X25" s="200"/>
      <c r="Y25" s="200"/>
      <c r="Z25" s="201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</row>
    <row r="26" spans="1:41" ht="14.1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208" t="s">
        <v>29</v>
      </c>
      <c r="O26" s="208"/>
      <c r="P26" s="208"/>
      <c r="Q26" s="208"/>
      <c r="R26" s="208"/>
      <c r="S26" s="208"/>
      <c r="T26" s="208"/>
      <c r="U26" s="196" t="s">
        <v>1667</v>
      </c>
      <c r="V26" s="197"/>
      <c r="W26" s="197"/>
      <c r="X26" s="197"/>
      <c r="Y26" s="197"/>
      <c r="Z26" s="198"/>
      <c r="AA26" s="50"/>
      <c r="AB26" s="50"/>
      <c r="AC26" s="50"/>
      <c r="AD26" s="50"/>
      <c r="AE26" s="50"/>
      <c r="AF26" s="58"/>
      <c r="AG26" s="50"/>
      <c r="AH26" s="50"/>
      <c r="AI26" s="50"/>
      <c r="AJ26" s="50"/>
      <c r="AK26" s="50"/>
      <c r="AL26" s="50"/>
      <c r="AM26" s="50"/>
      <c r="AN26" s="50"/>
      <c r="AO26" s="50"/>
    </row>
    <row r="27" spans="1:41" ht="14.1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208" t="s">
        <v>7</v>
      </c>
      <c r="O27" s="208"/>
      <c r="P27" s="208"/>
      <c r="Q27" s="208"/>
      <c r="R27" s="208"/>
      <c r="S27" s="208"/>
      <c r="T27" s="208"/>
      <c r="U27" s="199"/>
      <c r="V27" s="200"/>
      <c r="W27" s="200"/>
      <c r="X27" s="200"/>
      <c r="Y27" s="200"/>
      <c r="Z27" s="201"/>
      <c r="AA27" s="50"/>
      <c r="AB27" s="50"/>
      <c r="AC27" s="50"/>
      <c r="AD27" s="50"/>
      <c r="AE27" s="50"/>
      <c r="AF27" s="58"/>
      <c r="AG27" s="50"/>
      <c r="AH27" s="50"/>
      <c r="AI27" s="50"/>
      <c r="AJ27" s="50"/>
      <c r="AK27" s="50"/>
      <c r="AL27" s="50"/>
      <c r="AM27" s="50"/>
      <c r="AN27" s="50"/>
      <c r="AO27" s="50"/>
    </row>
    <row r="28" spans="1:41" ht="14.1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208" t="s">
        <v>44</v>
      </c>
      <c r="O28" s="208"/>
      <c r="P28" s="208"/>
      <c r="Q28" s="208"/>
      <c r="R28" s="208"/>
      <c r="S28" s="208"/>
      <c r="T28" s="208"/>
      <c r="U28" s="202" t="s">
        <v>1668</v>
      </c>
      <c r="V28" s="203"/>
      <c r="W28" s="203"/>
      <c r="X28" s="203"/>
      <c r="Y28" s="203"/>
      <c r="Z28" s="203"/>
      <c r="AA28" s="203"/>
      <c r="AB28" s="203"/>
      <c r="AC28" s="203"/>
      <c r="AD28" s="204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</row>
    <row r="29" spans="1:41" ht="14.1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9"/>
      <c r="AC29" s="59"/>
      <c r="AD29" s="59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 ht="14.1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7" t="s">
        <v>45</v>
      </c>
      <c r="N30" s="208" t="s">
        <v>1174</v>
      </c>
      <c r="O30" s="208"/>
      <c r="P30" s="208"/>
      <c r="Q30" s="208"/>
      <c r="R30" s="208"/>
      <c r="S30" s="208"/>
      <c r="T30" s="208"/>
      <c r="U30" s="205" t="s">
        <v>25</v>
      </c>
      <c r="V30" s="206"/>
      <c r="W30" s="206"/>
      <c r="X30" s="206"/>
      <c r="Y30" s="206"/>
      <c r="Z30" s="207"/>
      <c r="AA30" s="50"/>
      <c r="AB30" s="59"/>
      <c r="AC30" s="59"/>
      <c r="AD30" s="59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</row>
    <row r="31" spans="1:41" ht="14.1" customHeight="1" x14ac:dyDescent="0.2">
      <c r="A31" s="50"/>
      <c r="B31" s="50"/>
      <c r="C31" s="50"/>
      <c r="D31" s="50"/>
      <c r="E31" s="50"/>
      <c r="F31" s="50"/>
      <c r="G31" s="50"/>
      <c r="H31" s="55"/>
      <c r="I31" s="55"/>
      <c r="J31" s="55"/>
      <c r="K31" s="55"/>
      <c r="L31" s="55"/>
      <c r="M31" s="57"/>
      <c r="N31" s="208" t="s">
        <v>39</v>
      </c>
      <c r="O31" s="208"/>
      <c r="P31" s="208"/>
      <c r="Q31" s="208"/>
      <c r="R31" s="208"/>
      <c r="S31" s="208"/>
      <c r="T31" s="208"/>
      <c r="U31" s="209" t="s">
        <v>1669</v>
      </c>
      <c r="V31" s="210"/>
      <c r="W31" s="210"/>
      <c r="X31" s="210"/>
      <c r="Y31" s="210"/>
      <c r="Z31" s="211"/>
      <c r="AA31" s="50"/>
      <c r="AB31" s="50" t="s">
        <v>1175</v>
      </c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ht="14.1" customHeight="1" x14ac:dyDescent="0.2">
      <c r="A32" s="50"/>
      <c r="B32" s="50"/>
      <c r="C32" s="50"/>
      <c r="D32" s="50"/>
      <c r="E32" s="50"/>
      <c r="F32" s="50"/>
      <c r="G32" s="50"/>
      <c r="H32" s="50"/>
      <c r="I32" s="55"/>
      <c r="J32" s="50"/>
      <c r="K32" s="60"/>
      <c r="L32" s="50"/>
      <c r="M32" s="50"/>
      <c r="N32" s="208" t="s">
        <v>40</v>
      </c>
      <c r="O32" s="208"/>
      <c r="P32" s="208"/>
      <c r="Q32" s="208"/>
      <c r="R32" s="208"/>
      <c r="S32" s="208"/>
      <c r="T32" s="208"/>
      <c r="U32" s="205" t="s">
        <v>272</v>
      </c>
      <c r="V32" s="206"/>
      <c r="W32" s="206"/>
      <c r="X32" s="206"/>
      <c r="Y32" s="206"/>
      <c r="Z32" s="207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1:42" ht="14.1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61"/>
      <c r="L33" s="50"/>
      <c r="M33" s="50"/>
      <c r="N33" s="208" t="s">
        <v>8</v>
      </c>
      <c r="O33" s="208"/>
      <c r="P33" s="208"/>
      <c r="Q33" s="208"/>
      <c r="R33" s="208"/>
      <c r="S33" s="208"/>
      <c r="T33" s="208"/>
      <c r="U33" s="235" t="s">
        <v>197</v>
      </c>
      <c r="V33" s="236"/>
      <c r="W33" s="236"/>
      <c r="X33" s="236"/>
      <c r="Y33" s="236"/>
      <c r="Z33" s="237"/>
      <c r="AA33" s="62" t="str">
        <f>IF(U33="","",IF(VLOOKUP(U33,'01-Districts and Counties'!$O$2:$P$89,2,FALSE)&lt;&gt;'TRANS. COV.'!U32," "&amp;U33&amp;" County is not in District "&amp;U32,""))</f>
        <v/>
      </c>
      <c r="AB33" s="235" t="s">
        <v>251</v>
      </c>
      <c r="AC33" s="236"/>
      <c r="AD33" s="236"/>
      <c r="AE33" s="236"/>
      <c r="AF33" s="236"/>
      <c r="AG33" s="237"/>
      <c r="AH33" s="50"/>
      <c r="AI33" s="244"/>
      <c r="AJ33" s="245"/>
      <c r="AK33" s="245"/>
      <c r="AL33" s="245"/>
      <c r="AM33" s="245"/>
      <c r="AN33" s="246"/>
      <c r="AO33" s="50"/>
    </row>
    <row r="34" spans="1:42" ht="14.1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60"/>
      <c r="K34" s="61"/>
      <c r="L34" s="63"/>
      <c r="M34" s="63"/>
      <c r="N34" s="208" t="s">
        <v>30</v>
      </c>
      <c r="O34" s="208"/>
      <c r="P34" s="208"/>
      <c r="Q34" s="208"/>
      <c r="R34" s="208"/>
      <c r="S34" s="208"/>
      <c r="T34" s="208"/>
      <c r="U34" s="209" t="s">
        <v>1670</v>
      </c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1"/>
      <c r="AH34" s="50"/>
      <c r="AI34" s="50"/>
      <c r="AJ34" s="50"/>
      <c r="AK34" s="50"/>
      <c r="AL34" s="50"/>
      <c r="AM34" s="50"/>
      <c r="AN34" s="50"/>
      <c r="AO34" s="50"/>
    </row>
    <row r="35" spans="1:42" ht="14.1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61"/>
      <c r="K35" s="61"/>
      <c r="L35" s="61"/>
      <c r="M35" s="61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1:42" ht="14.1" customHeight="1" x14ac:dyDescent="0.2">
      <c r="A36" s="50"/>
      <c r="B36" s="50"/>
      <c r="C36" s="50"/>
      <c r="D36" s="50"/>
      <c r="E36" s="50"/>
      <c r="F36" s="56" t="s">
        <v>71</v>
      </c>
      <c r="G36" s="238" t="s">
        <v>1293</v>
      </c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40"/>
      <c r="AL36" s="50"/>
      <c r="AM36" s="50"/>
      <c r="AN36" s="50"/>
      <c r="AO36" s="50"/>
      <c r="AP36" s="64"/>
    </row>
    <row r="37" spans="1:42" ht="14.1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61"/>
      <c r="K37" s="61"/>
      <c r="L37" s="61"/>
      <c r="M37" s="61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</row>
    <row r="38" spans="1:42" ht="14.1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5"/>
      <c r="M38" s="56" t="s">
        <v>1280</v>
      </c>
      <c r="N38" s="234" t="s">
        <v>1281</v>
      </c>
      <c r="O38" s="234"/>
      <c r="P38" s="234"/>
      <c r="Q38" s="234"/>
      <c r="R38" s="234"/>
      <c r="S38" s="234"/>
      <c r="T38" s="234"/>
      <c r="U38" s="241" t="s">
        <v>1683</v>
      </c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3"/>
      <c r="AK38" s="50"/>
      <c r="AL38" s="50"/>
      <c r="AM38" s="50"/>
      <c r="AN38" s="50"/>
      <c r="AO38" s="50"/>
    </row>
    <row r="39" spans="1:42" ht="14.1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5"/>
      <c r="M39" s="56"/>
      <c r="N39" s="234" t="s">
        <v>1282</v>
      </c>
      <c r="O39" s="234"/>
      <c r="P39" s="234"/>
      <c r="Q39" s="234"/>
      <c r="R39" s="234"/>
      <c r="S39" s="234"/>
      <c r="T39" s="234"/>
      <c r="U39" s="233" t="str">
        <f>IFERROR(VLOOKUP(U38,'04-JMF Mix Suppliers'!$A$2:$B$664,2,FALSE),"")</f>
        <v>55555-55</v>
      </c>
      <c r="V39" s="233"/>
      <c r="W39" s="233"/>
      <c r="X39" s="233"/>
      <c r="Y39" s="233"/>
      <c r="Z39" s="233"/>
      <c r="AA39" s="50"/>
      <c r="AB39" s="50"/>
      <c r="AC39" s="50"/>
      <c r="AD39" s="50"/>
      <c r="AE39" s="50"/>
      <c r="AF39" s="58"/>
      <c r="AG39" s="50"/>
      <c r="AH39" s="50"/>
      <c r="AI39" s="50"/>
      <c r="AJ39" s="50"/>
      <c r="AK39" s="50"/>
      <c r="AL39" s="50"/>
      <c r="AM39" s="50"/>
      <c r="AN39" s="50"/>
      <c r="AO39" s="50"/>
    </row>
    <row r="40" spans="1:42" ht="14.1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08" t="s">
        <v>3</v>
      </c>
      <c r="O40" s="208"/>
      <c r="P40" s="208"/>
      <c r="Q40" s="208"/>
      <c r="R40" s="208"/>
      <c r="S40" s="208"/>
      <c r="T40" s="208"/>
      <c r="U40" s="247" t="s">
        <v>1663</v>
      </c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50"/>
      <c r="AO40" s="50"/>
    </row>
    <row r="41" spans="1:42" ht="14.1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208" t="s">
        <v>4</v>
      </c>
      <c r="O41" s="208"/>
      <c r="P41" s="208"/>
      <c r="Q41" s="208"/>
      <c r="R41" s="208"/>
      <c r="S41" s="208"/>
      <c r="T41" s="208"/>
      <c r="U41" s="247" t="s">
        <v>1664</v>
      </c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2" ht="14.1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208" t="s">
        <v>5</v>
      </c>
      <c r="O42" s="208"/>
      <c r="P42" s="208"/>
      <c r="Q42" s="208"/>
      <c r="R42" s="208"/>
      <c r="S42" s="208"/>
      <c r="T42" s="208"/>
      <c r="U42" s="209" t="s">
        <v>1665</v>
      </c>
      <c r="V42" s="210"/>
      <c r="W42" s="210"/>
      <c r="X42" s="210"/>
      <c r="Y42" s="210"/>
      <c r="Z42" s="211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</row>
    <row r="43" spans="1:42" ht="14.1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208" t="s">
        <v>6</v>
      </c>
      <c r="O43" s="208"/>
      <c r="P43" s="208"/>
      <c r="Q43" s="208"/>
      <c r="R43" s="208"/>
      <c r="S43" s="208"/>
      <c r="T43" s="208"/>
      <c r="U43" s="209">
        <v>55555</v>
      </c>
      <c r="V43" s="210"/>
      <c r="W43" s="210"/>
      <c r="X43" s="210"/>
      <c r="Y43" s="210"/>
      <c r="Z43" s="211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</row>
    <row r="44" spans="1:42" ht="6.9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9"/>
      <c r="AC44" s="59"/>
      <c r="AD44" s="59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</row>
    <row r="45" spans="1:42" ht="14.1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208" t="s">
        <v>1283</v>
      </c>
      <c r="O45" s="208"/>
      <c r="P45" s="208"/>
      <c r="Q45" s="208"/>
      <c r="R45" s="208"/>
      <c r="S45" s="208"/>
      <c r="T45" s="208"/>
      <c r="U45" s="209" t="s">
        <v>1671</v>
      </c>
      <c r="V45" s="210"/>
      <c r="W45" s="210"/>
      <c r="X45" s="210"/>
      <c r="Y45" s="210"/>
      <c r="Z45" s="210"/>
      <c r="AA45" s="210"/>
      <c r="AB45" s="210"/>
      <c r="AC45" s="210"/>
      <c r="AD45" s="211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</row>
    <row r="46" spans="1:42" ht="14.1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208" t="s">
        <v>28</v>
      </c>
      <c r="O46" s="208"/>
      <c r="P46" s="208"/>
      <c r="Q46" s="208"/>
      <c r="R46" s="208"/>
      <c r="S46" s="208"/>
      <c r="T46" s="208"/>
      <c r="U46" s="199" t="s">
        <v>1672</v>
      </c>
      <c r="V46" s="200"/>
      <c r="W46" s="200"/>
      <c r="X46" s="200"/>
      <c r="Y46" s="200"/>
      <c r="Z46" s="201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</row>
    <row r="47" spans="1:42" ht="14.1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208" t="s">
        <v>29</v>
      </c>
      <c r="O47" s="208"/>
      <c r="P47" s="208"/>
      <c r="Q47" s="208"/>
      <c r="R47" s="208"/>
      <c r="S47" s="208"/>
      <c r="T47" s="208"/>
      <c r="U47" s="196" t="s">
        <v>1673</v>
      </c>
      <c r="V47" s="197"/>
      <c r="W47" s="197"/>
      <c r="X47" s="197"/>
      <c r="Y47" s="197"/>
      <c r="Z47" s="198"/>
      <c r="AA47" s="50"/>
      <c r="AB47" s="50"/>
      <c r="AC47" s="50"/>
      <c r="AD47" s="50"/>
      <c r="AE47" s="50"/>
      <c r="AF47" s="58"/>
      <c r="AG47" s="50"/>
      <c r="AH47" s="50"/>
      <c r="AI47" s="50"/>
      <c r="AJ47" s="50"/>
      <c r="AK47" s="50"/>
      <c r="AL47" s="50"/>
      <c r="AM47" s="50"/>
      <c r="AN47" s="50"/>
      <c r="AO47" s="50"/>
    </row>
    <row r="48" spans="1:42" ht="14.1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208" t="s">
        <v>7</v>
      </c>
      <c r="O48" s="208"/>
      <c r="P48" s="208"/>
      <c r="Q48" s="208"/>
      <c r="R48" s="208"/>
      <c r="S48" s="208"/>
      <c r="T48" s="208"/>
      <c r="U48" s="199"/>
      <c r="V48" s="200"/>
      <c r="W48" s="200"/>
      <c r="X48" s="200"/>
      <c r="Y48" s="200"/>
      <c r="Z48" s="201"/>
      <c r="AA48" s="50"/>
      <c r="AB48" s="50"/>
      <c r="AC48" s="50"/>
      <c r="AD48" s="50"/>
      <c r="AE48" s="50"/>
      <c r="AF48" s="58"/>
      <c r="AG48" s="50"/>
      <c r="AH48" s="50"/>
      <c r="AI48" s="50"/>
      <c r="AJ48" s="50"/>
      <c r="AK48" s="50"/>
      <c r="AL48" s="50"/>
      <c r="AM48" s="50"/>
      <c r="AN48" s="50"/>
      <c r="AO48" s="50"/>
    </row>
    <row r="49" spans="1:41" ht="14.1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208" t="s">
        <v>44</v>
      </c>
      <c r="O49" s="208"/>
      <c r="P49" s="208"/>
      <c r="Q49" s="208"/>
      <c r="R49" s="208"/>
      <c r="S49" s="208"/>
      <c r="T49" s="208"/>
      <c r="U49" s="202" t="s">
        <v>1674</v>
      </c>
      <c r="V49" s="203"/>
      <c r="W49" s="203"/>
      <c r="X49" s="203"/>
      <c r="Y49" s="203"/>
      <c r="Z49" s="203"/>
      <c r="AA49" s="203"/>
      <c r="AB49" s="203"/>
      <c r="AC49" s="203"/>
      <c r="AD49" s="204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</row>
    <row r="50" spans="1:41" ht="14.1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</row>
    <row r="51" spans="1:41" ht="14.1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6" t="s">
        <v>1373</v>
      </c>
      <c r="N51" s="225" t="s">
        <v>1284</v>
      </c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</row>
    <row r="52" spans="1:41" ht="14.1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26" t="s">
        <v>0</v>
      </c>
      <c r="O52" s="227"/>
      <c r="P52" s="227"/>
      <c r="Q52" s="227"/>
      <c r="R52" s="227"/>
      <c r="S52" s="228"/>
      <c r="T52" s="224" t="s">
        <v>1675</v>
      </c>
      <c r="U52" s="224"/>
      <c r="V52" s="224"/>
      <c r="W52" s="224"/>
      <c r="X52" s="224"/>
      <c r="Y52" s="224"/>
      <c r="Z52" s="224"/>
      <c r="AA52" s="224"/>
      <c r="AB52" s="224"/>
      <c r="AC52" s="224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</row>
    <row r="53" spans="1:41" ht="14.1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226" t="s">
        <v>1</v>
      </c>
      <c r="O53" s="227"/>
      <c r="P53" s="227"/>
      <c r="Q53" s="227"/>
      <c r="R53" s="227"/>
      <c r="S53" s="228"/>
      <c r="T53" s="224" t="s">
        <v>1676</v>
      </c>
      <c r="U53" s="224"/>
      <c r="V53" s="224"/>
      <c r="W53" s="224"/>
      <c r="X53" s="224"/>
      <c r="Y53" s="224"/>
      <c r="Z53" s="224"/>
      <c r="AA53" s="224"/>
      <c r="AB53" s="224"/>
      <c r="AC53" s="224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</row>
    <row r="54" spans="1:41" ht="14.1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226" t="s">
        <v>28</v>
      </c>
      <c r="O54" s="227"/>
      <c r="P54" s="227"/>
      <c r="Q54" s="227"/>
      <c r="R54" s="227"/>
      <c r="S54" s="228"/>
      <c r="T54" s="224" t="s">
        <v>1677</v>
      </c>
      <c r="U54" s="224"/>
      <c r="V54" s="224"/>
      <c r="W54" s="224"/>
      <c r="X54" s="224"/>
      <c r="Y54" s="224"/>
      <c r="Z54" s="224"/>
      <c r="AA54" s="224"/>
      <c r="AB54" s="224"/>
      <c r="AC54" s="224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</row>
    <row r="55" spans="1:41" ht="14.1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226" t="s">
        <v>29</v>
      </c>
      <c r="O55" s="227"/>
      <c r="P55" s="227"/>
      <c r="Q55" s="227"/>
      <c r="R55" s="227"/>
      <c r="S55" s="228"/>
      <c r="T55" s="224" t="s">
        <v>1678</v>
      </c>
      <c r="U55" s="224"/>
      <c r="V55" s="224"/>
      <c r="W55" s="224"/>
      <c r="X55" s="224"/>
      <c r="Y55" s="224"/>
      <c r="Z55" s="224"/>
      <c r="AA55" s="224"/>
      <c r="AB55" s="224"/>
      <c r="AC55" s="224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</row>
    <row r="56" spans="1:41" ht="14.1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226" t="s">
        <v>7</v>
      </c>
      <c r="O56" s="227"/>
      <c r="P56" s="227"/>
      <c r="Q56" s="227"/>
      <c r="R56" s="227"/>
      <c r="S56" s="228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</row>
    <row r="57" spans="1:41" ht="14.1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226" t="s">
        <v>44</v>
      </c>
      <c r="O57" s="227"/>
      <c r="P57" s="227"/>
      <c r="Q57" s="227"/>
      <c r="R57" s="227"/>
      <c r="S57" s="228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1" ht="6.9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</row>
    <row r="59" spans="1:41" ht="14.1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225" t="s">
        <v>1285</v>
      </c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</row>
    <row r="60" spans="1:41" ht="14.1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232" t="s">
        <v>0</v>
      </c>
      <c r="O60" s="232"/>
      <c r="P60" s="232"/>
      <c r="Q60" s="232"/>
      <c r="R60" s="232"/>
      <c r="S60" s="232"/>
      <c r="T60" s="224" t="s">
        <v>1679</v>
      </c>
      <c r="U60" s="224"/>
      <c r="V60" s="224"/>
      <c r="W60" s="224"/>
      <c r="X60" s="224"/>
      <c r="Y60" s="224"/>
      <c r="Z60" s="224"/>
      <c r="AA60" s="224"/>
      <c r="AB60" s="224"/>
      <c r="AC60" s="224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</row>
    <row r="61" spans="1:41" ht="14.1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229" t="s">
        <v>9</v>
      </c>
      <c r="O61" s="230"/>
      <c r="P61" s="230"/>
      <c r="Q61" s="230"/>
      <c r="R61" s="230"/>
      <c r="S61" s="231"/>
      <c r="T61" s="224" t="s">
        <v>1680</v>
      </c>
      <c r="U61" s="224"/>
      <c r="V61" s="224"/>
      <c r="W61" s="224"/>
      <c r="X61" s="224"/>
      <c r="Y61" s="224"/>
      <c r="Z61" s="224"/>
      <c r="AA61" s="224"/>
      <c r="AB61" s="224"/>
      <c r="AC61" s="224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</row>
    <row r="62" spans="1:41" ht="14.1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234" t="s">
        <v>1591</v>
      </c>
      <c r="O62" s="234"/>
      <c r="P62" s="234"/>
      <c r="Q62" s="234"/>
      <c r="R62" s="234"/>
      <c r="S62" s="234"/>
      <c r="T62" s="234"/>
      <c r="U62" s="234"/>
      <c r="V62" s="234"/>
      <c r="W62" s="224" t="s">
        <v>1681</v>
      </c>
      <c r="X62" s="224"/>
      <c r="Y62" s="224"/>
      <c r="Z62" s="224"/>
      <c r="AA62" s="224"/>
      <c r="AB62" s="224"/>
      <c r="AC62" s="224"/>
      <c r="AD62" s="224"/>
      <c r="AE62" s="224"/>
      <c r="AF62" s="224"/>
      <c r="AG62" s="50"/>
      <c r="AH62" s="50"/>
      <c r="AI62" s="50"/>
      <c r="AJ62" s="50"/>
      <c r="AK62" s="50"/>
      <c r="AL62" s="50"/>
      <c r="AM62" s="50"/>
      <c r="AN62" s="50"/>
      <c r="AO62" s="50"/>
    </row>
    <row r="63" spans="1:41" ht="14.1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61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1:41" ht="14.1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61"/>
      <c r="R64" s="61"/>
      <c r="S64" s="61"/>
      <c r="T64" s="61"/>
      <c r="U64" s="61"/>
      <c r="V64" s="57" t="s">
        <v>1286</v>
      </c>
      <c r="W64" s="223" t="s">
        <v>1682</v>
      </c>
      <c r="X64" s="223"/>
      <c r="Y64" s="223"/>
      <c r="Z64" s="223"/>
      <c r="AA64" s="223"/>
      <c r="AB64" s="223"/>
      <c r="AC64" s="223"/>
      <c r="AD64" s="65"/>
      <c r="AE64" s="50"/>
      <c r="AF64" s="66"/>
      <c r="AG64" s="50"/>
      <c r="AH64" s="50"/>
      <c r="AI64" s="50"/>
      <c r="AJ64" s="50"/>
      <c r="AK64" s="50"/>
      <c r="AL64" s="50"/>
      <c r="AM64" s="50"/>
      <c r="AN64" s="50"/>
      <c r="AO64" s="50"/>
    </row>
    <row r="65" spans="1:41" ht="14.1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9"/>
      <c r="X65" s="59"/>
      <c r="Y65" s="59"/>
      <c r="Z65" s="59"/>
      <c r="AA65" s="59"/>
      <c r="AB65" s="59"/>
      <c r="AC65" s="59"/>
      <c r="AD65" s="59"/>
      <c r="AE65" s="67"/>
      <c r="AF65" s="61"/>
      <c r="AG65" s="50"/>
      <c r="AH65" s="50"/>
      <c r="AI65" s="50"/>
      <c r="AJ65" s="50"/>
      <c r="AK65" s="50"/>
      <c r="AL65" s="50"/>
      <c r="AM65" s="50"/>
      <c r="AN65" s="50"/>
      <c r="AO65" s="50"/>
    </row>
    <row r="66" spans="1:41" ht="14.1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68"/>
      <c r="R66" s="68"/>
      <c r="S66" s="68"/>
      <c r="T66" s="68"/>
      <c r="U66" s="68"/>
      <c r="V66" s="57" t="s">
        <v>50</v>
      </c>
      <c r="W66" s="222">
        <v>43241</v>
      </c>
      <c r="X66" s="222"/>
      <c r="Y66" s="222"/>
      <c r="Z66" s="222"/>
      <c r="AA66" s="222"/>
      <c r="AB66" s="222"/>
      <c r="AC66" s="222"/>
      <c r="AD66" s="222"/>
      <c r="AE66" s="222"/>
      <c r="AF66" s="61"/>
      <c r="AG66" s="50"/>
      <c r="AH66" s="50"/>
      <c r="AI66" s="50"/>
      <c r="AJ66" s="50"/>
      <c r="AK66" s="50"/>
      <c r="AL66" s="50"/>
      <c r="AM66" s="50"/>
      <c r="AN66" s="50"/>
      <c r="AO66" s="50"/>
    </row>
    <row r="67" spans="1:41" ht="14.1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</row>
    <row r="68" spans="1:41" ht="14.1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69" t="e">
        <f>#REF!&amp;" ("&amp;TEXT(#REF!,"mm/dd/yyyy")&amp;")"</f>
        <v>#REF!</v>
      </c>
    </row>
    <row r="69" spans="1:41" ht="14.1" customHeight="1" x14ac:dyDescent="0.2">
      <c r="A69" s="73"/>
      <c r="B69" s="72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</row>
    <row r="70" spans="1:41" ht="14.1" customHeight="1" x14ac:dyDescent="0.2">
      <c r="A70" s="70" t="s">
        <v>1551</v>
      </c>
      <c r="B70" s="120"/>
    </row>
    <row r="71" spans="1:41" ht="14.1" customHeight="1" x14ac:dyDescent="0.2">
      <c r="A71" s="121"/>
      <c r="B71" s="122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4"/>
    </row>
    <row r="72" spans="1:41" ht="14.1" customHeight="1" x14ac:dyDescent="0.2">
      <c r="A72" s="125"/>
      <c r="B72" s="126" t="str">
        <f>IF(COUNTIF(B77:B85,"*"&amp;"Error"&amp;"*")&gt;0,"Error(s) found! Please see below for details.","None")</f>
        <v>None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127"/>
    </row>
    <row r="73" spans="1:41" ht="14.1" customHeight="1" x14ac:dyDescent="0.2">
      <c r="A73" s="128"/>
      <c r="B73" s="129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1"/>
    </row>
    <row r="74" spans="1:41" ht="14.1" customHeight="1" x14ac:dyDescent="0.2">
      <c r="B74" s="120"/>
    </row>
    <row r="75" spans="1:41" ht="14.1" customHeight="1" x14ac:dyDescent="0.2">
      <c r="A75" s="70" t="s">
        <v>1552</v>
      </c>
      <c r="B75" s="120"/>
    </row>
    <row r="76" spans="1:41" ht="14.1" customHeight="1" x14ac:dyDescent="0.2">
      <c r="A76" s="121"/>
      <c r="B76" s="122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4"/>
    </row>
    <row r="77" spans="1:41" ht="14.1" customHeight="1" x14ac:dyDescent="0.2">
      <c r="A77" s="132" t="s">
        <v>158</v>
      </c>
      <c r="B77" s="72" t="str">
        <f>IF(OR(U16="",U17="",U19="",U20="",U21="",U22="",U23=""),"Error! Missing information for submitted by.","")</f>
        <v/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127"/>
    </row>
    <row r="78" spans="1:41" ht="14.1" customHeight="1" x14ac:dyDescent="0.2">
      <c r="A78" s="132" t="s">
        <v>158</v>
      </c>
      <c r="B78" s="72" t="str">
        <f>IF(OR(U30="",U31="",U32="",U33="",U34=""),"Error! Missing information for project info.","")</f>
        <v/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127"/>
    </row>
    <row r="79" spans="1:41" ht="14.1" customHeight="1" x14ac:dyDescent="0.2">
      <c r="A79" s="132" t="s">
        <v>158</v>
      </c>
      <c r="B79" s="72" t="str">
        <f>IF(OR(G36=""),"Error! Missing information for item code.","")</f>
        <v/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127"/>
    </row>
    <row r="80" spans="1:41" ht="14.1" customHeight="1" x14ac:dyDescent="0.2">
      <c r="A80" s="132" t="s">
        <v>158</v>
      </c>
      <c r="B80" s="72" t="str">
        <f>IF(OR(U38="",U39="",U40="",U41="",U42="",U43="",U45=""),"Error! Missing information for contractor info.","")</f>
        <v/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27"/>
    </row>
    <row r="81" spans="1:41" ht="14.1" customHeight="1" x14ac:dyDescent="0.2">
      <c r="A81" s="132" t="s">
        <v>158</v>
      </c>
      <c r="B81" s="72" t="str">
        <f>IF(OR(T52="",T53="",T60="",T61=""),"Error! Missing information for design individual and laboratory.","")</f>
        <v/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127"/>
    </row>
    <row r="82" spans="1:41" ht="14.1" customHeight="1" x14ac:dyDescent="0.2">
      <c r="A82" s="132" t="s">
        <v>158</v>
      </c>
      <c r="B82" s="72" t="str">
        <f>IF(OR(W64=""),"Error! Missing information for quality control plan.","")</f>
        <v/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127"/>
    </row>
    <row r="83" spans="1:41" ht="14.1" customHeight="1" x14ac:dyDescent="0.2">
      <c r="A83" s="132" t="s">
        <v>158</v>
      </c>
      <c r="B83" s="72" t="str">
        <f>IF(OR(W66=""),"Error! Missing information for preparation date.","")</f>
        <v/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127"/>
    </row>
    <row r="84" spans="1:41" ht="14.1" customHeight="1" x14ac:dyDescent="0.2">
      <c r="A84" s="132" t="s">
        <v>158</v>
      </c>
      <c r="B84" s="72" t="str">
        <f>IF(U31="","",IF(AND(ISNUMBER(VALUE(MID(U31,1,2))),ISNUMBER(VALUE(MID(U31,4,4))),MID(U31,3,1)="-"),"","Error! Incorrect format for Project ID."))</f>
        <v/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127"/>
    </row>
    <row r="85" spans="1:41" ht="14.1" customHeight="1" x14ac:dyDescent="0.2">
      <c r="A85" s="132" t="s">
        <v>158</v>
      </c>
      <c r="B85" s="72" t="str">
        <f>IF(ISERROR(DATEVALUE(TEXT(W66,"mm/dd/yyyy"))),"Error! Incorrect format for preparation date.","")</f>
        <v/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127"/>
    </row>
    <row r="86" spans="1:41" ht="14.1" customHeight="1" x14ac:dyDescent="0.2">
      <c r="A86" s="133"/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1"/>
    </row>
    <row r="87" spans="1:41" ht="14.1" customHeight="1" x14ac:dyDescent="0.2">
      <c r="A87" s="73"/>
      <c r="B87" s="72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</row>
    <row r="88" spans="1:41" ht="14.1" customHeight="1" x14ac:dyDescent="0.2">
      <c r="A88" s="73"/>
      <c r="B88" s="72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</row>
    <row r="89" spans="1:41" ht="14.1" customHeight="1" x14ac:dyDescent="0.2">
      <c r="A89" s="73"/>
      <c r="B89" s="72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</row>
    <row r="90" spans="1:41" ht="14.1" customHeight="1" x14ac:dyDescent="0.2">
      <c r="A90" s="73"/>
      <c r="B90" s="72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</row>
    <row r="91" spans="1:41" ht="14.1" customHeight="1" x14ac:dyDescent="0.2">
      <c r="A91" s="73"/>
      <c r="B91" s="72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</row>
    <row r="92" spans="1:41" ht="14.1" customHeight="1" x14ac:dyDescent="0.2">
      <c r="A92" s="73"/>
      <c r="B92" s="72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</row>
    <row r="93" spans="1:41" ht="14.1" customHeight="1" x14ac:dyDescent="0.2">
      <c r="A93" s="73"/>
      <c r="B93" s="72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</row>
    <row r="94" spans="1:41" ht="14.1" customHeight="1" x14ac:dyDescent="0.2">
      <c r="A94" s="73"/>
      <c r="B94" s="72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</row>
    <row r="95" spans="1:41" ht="14.1" customHeight="1" x14ac:dyDescent="0.2">
      <c r="A95" s="73"/>
      <c r="B95" s="72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</row>
    <row r="96" spans="1:41" ht="14.1" customHeight="1" x14ac:dyDescent="0.2">
      <c r="A96" s="73"/>
      <c r="B96" s="72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</row>
    <row r="97" spans="1:39" ht="14.1" customHeight="1" x14ac:dyDescent="0.2">
      <c r="A97" s="73"/>
      <c r="B97" s="72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</row>
    <row r="98" spans="1:39" ht="14.1" customHeight="1" x14ac:dyDescent="0.2">
      <c r="A98" s="73"/>
      <c r="B98" s="72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</row>
    <row r="99" spans="1:39" ht="14.1" customHeight="1" x14ac:dyDescent="0.2">
      <c r="A99" s="73"/>
      <c r="B99" s="72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</row>
    <row r="100" spans="1:39" ht="14.1" customHeight="1" x14ac:dyDescent="0.2">
      <c r="A100" s="73"/>
      <c r="B100" s="72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</row>
    <row r="101" spans="1:39" ht="14.1" customHeight="1" x14ac:dyDescent="0.2">
      <c r="A101" s="73"/>
      <c r="B101" s="72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</row>
    <row r="102" spans="1:39" ht="14.1" customHeight="1" x14ac:dyDescent="0.2">
      <c r="A102" s="73"/>
      <c r="B102" s="72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</row>
    <row r="103" spans="1:39" ht="14.1" customHeight="1" x14ac:dyDescent="0.2">
      <c r="A103" s="73"/>
      <c r="B103" s="72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</row>
    <row r="104" spans="1:39" ht="14.1" customHeight="1" x14ac:dyDescent="0.2">
      <c r="A104" s="73"/>
      <c r="B104" s="72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</row>
    <row r="105" spans="1:39" ht="14.1" customHeight="1" x14ac:dyDescent="0.2">
      <c r="A105" s="73"/>
      <c r="B105" s="72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</row>
    <row r="106" spans="1:39" ht="14.1" customHeight="1" x14ac:dyDescent="0.2">
      <c r="A106" s="73"/>
      <c r="B106" s="72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</row>
    <row r="107" spans="1:39" ht="14.1" customHeight="1" x14ac:dyDescent="0.2">
      <c r="A107" s="73"/>
      <c r="B107" s="72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</row>
    <row r="108" spans="1:39" ht="14.1" customHeight="1" x14ac:dyDescent="0.2">
      <c r="A108" s="73"/>
      <c r="B108" s="72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</row>
    <row r="109" spans="1:39" ht="14.1" customHeight="1" x14ac:dyDescent="0.2">
      <c r="A109" s="73"/>
      <c r="B109" s="72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</row>
    <row r="110" spans="1:39" ht="14.1" customHeight="1" x14ac:dyDescent="0.2">
      <c r="A110" s="73"/>
      <c r="B110" s="72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</row>
    <row r="111" spans="1:39" ht="14.1" customHeight="1" x14ac:dyDescent="0.2">
      <c r="A111" s="73"/>
      <c r="B111" s="72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</row>
    <row r="112" spans="1:39" ht="14.1" customHeight="1" x14ac:dyDescent="0.2">
      <c r="A112" s="73"/>
      <c r="B112" s="72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</row>
    <row r="113" spans="1:39" ht="14.1" customHeight="1" x14ac:dyDescent="0.2">
      <c r="A113" s="73"/>
      <c r="B113" s="72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</row>
    <row r="114" spans="1:39" ht="14.1" customHeight="1" x14ac:dyDescent="0.2">
      <c r="A114" s="73"/>
      <c r="B114" s="72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</row>
    <row r="115" spans="1:39" ht="14.1" customHeight="1" x14ac:dyDescent="0.2">
      <c r="A115" s="73"/>
      <c r="B115" s="72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</row>
    <row r="116" spans="1:39" ht="14.1" customHeight="1" x14ac:dyDescent="0.2">
      <c r="A116" s="73"/>
      <c r="B116" s="72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</row>
    <row r="117" spans="1:39" ht="14.1" customHeight="1" x14ac:dyDescent="0.2">
      <c r="A117" s="73"/>
      <c r="B117" s="72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</row>
    <row r="118" spans="1:39" ht="14.1" customHeight="1" x14ac:dyDescent="0.2">
      <c r="A118" s="73"/>
      <c r="B118" s="72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</row>
    <row r="119" spans="1:39" ht="14.1" customHeight="1" x14ac:dyDescent="0.2">
      <c r="A119" s="73"/>
      <c r="B119" s="72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</row>
    <row r="120" spans="1:39" ht="14.1" customHeight="1" x14ac:dyDescent="0.2">
      <c r="A120" s="73"/>
      <c r="B120" s="72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</row>
    <row r="121" spans="1:39" ht="14.1" customHeight="1" x14ac:dyDescent="0.2">
      <c r="A121" s="73"/>
      <c r="B121" s="72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</row>
    <row r="122" spans="1:39" ht="14.1" customHeight="1" x14ac:dyDescent="0.2">
      <c r="A122" s="73"/>
      <c r="B122" s="72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</row>
    <row r="123" spans="1:39" ht="14.1" customHeight="1" x14ac:dyDescent="0.2">
      <c r="A123" s="73"/>
      <c r="B123" s="72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</row>
    <row r="124" spans="1:39" ht="14.1" customHeight="1" x14ac:dyDescent="0.2">
      <c r="A124" s="71"/>
      <c r="B124" s="72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</row>
    <row r="125" spans="1:39" ht="14.1" customHeight="1" x14ac:dyDescent="0.2">
      <c r="A125" s="71"/>
      <c r="B125" s="72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</row>
    <row r="126" spans="1:39" ht="14.1" customHeight="1" x14ac:dyDescent="0.2">
      <c r="A126" s="71"/>
      <c r="B126" s="72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</row>
    <row r="127" spans="1:39" ht="14.1" customHeight="1" x14ac:dyDescent="0.2">
      <c r="A127" s="71"/>
      <c r="B127" s="72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</row>
    <row r="128" spans="1:39" ht="14.1" customHeight="1" x14ac:dyDescent="0.2">
      <c r="A128" s="71"/>
      <c r="B128" s="72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</row>
    <row r="129" spans="1:39" ht="14.1" customHeight="1" x14ac:dyDescent="0.2">
      <c r="A129" s="71"/>
      <c r="B129" s="72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</row>
    <row r="130" spans="1:39" ht="14.1" customHeight="1" x14ac:dyDescent="0.2">
      <c r="A130" s="71"/>
      <c r="B130" s="72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</row>
    <row r="131" spans="1:39" ht="14.1" customHeight="1" x14ac:dyDescent="0.2">
      <c r="A131" s="71"/>
      <c r="B131" s="72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</row>
    <row r="132" spans="1:39" ht="14.1" customHeight="1" x14ac:dyDescent="0.2">
      <c r="A132" s="71"/>
      <c r="B132" s="72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</row>
    <row r="133" spans="1:39" ht="14.1" customHeight="1" x14ac:dyDescent="0.2">
      <c r="A133" s="71"/>
      <c r="B133" s="72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</row>
    <row r="134" spans="1:39" ht="14.1" customHeight="1" x14ac:dyDescent="0.2">
      <c r="A134" s="71"/>
      <c r="B134" s="72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</row>
    <row r="135" spans="1:39" ht="14.1" customHeight="1" x14ac:dyDescent="0.2">
      <c r="A135" s="71"/>
      <c r="B135" s="72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</row>
    <row r="136" spans="1:39" ht="14.1" customHeight="1" x14ac:dyDescent="0.2">
      <c r="A136" s="71"/>
      <c r="B136" s="72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</row>
    <row r="137" spans="1:39" ht="14.1" customHeight="1" x14ac:dyDescent="0.2">
      <c r="A137" s="71"/>
      <c r="B137" s="72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</row>
    <row r="138" spans="1:39" ht="14.1" customHeight="1" x14ac:dyDescent="0.2">
      <c r="A138" s="71"/>
      <c r="B138" s="72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</row>
    <row r="139" spans="1:39" ht="14.1" customHeight="1" x14ac:dyDescent="0.2">
      <c r="A139" s="71"/>
      <c r="B139" s="72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</row>
    <row r="140" spans="1:39" ht="14.1" customHeight="1" x14ac:dyDescent="0.2">
      <c r="A140" s="71"/>
      <c r="B140" s="72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</row>
    <row r="141" spans="1:39" ht="14.1" customHeight="1" x14ac:dyDescent="0.2">
      <c r="A141" s="71"/>
      <c r="B141" s="72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</row>
    <row r="142" spans="1:39" ht="14.1" customHeight="1" x14ac:dyDescent="0.2">
      <c r="A142" s="71"/>
      <c r="B142" s="72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</row>
    <row r="143" spans="1:39" ht="14.1" customHeight="1" x14ac:dyDescent="0.2">
      <c r="A143" s="71"/>
      <c r="B143" s="72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</row>
    <row r="144" spans="1:39" ht="14.1" customHeight="1" x14ac:dyDescent="0.2">
      <c r="A144" s="71"/>
      <c r="B144" s="72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</row>
    <row r="145" spans="1:39" ht="14.1" customHeight="1" x14ac:dyDescent="0.2">
      <c r="A145" s="71"/>
      <c r="B145" s="72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</row>
  </sheetData>
  <sheetProtection algorithmName="SHA-512" hashValue="UgGhECw5axkNp9QzPtmACinjEoglOEZHBjTwiiYC3biRHJGlC1BSw2AkTYUMP8m2JMSWhbqiDgt7Qgabui4HxA==" saltValue="mdE9E/IJdY90sUQdj+8wOw==" spinCount="100000" sheet="1" objects="1" scenarios="1"/>
  <dataConsolidate/>
  <mergeCells count="86">
    <mergeCell ref="N62:V62"/>
    <mergeCell ref="N20:T20"/>
    <mergeCell ref="U21:AB21"/>
    <mergeCell ref="U22:Z22"/>
    <mergeCell ref="N52:S52"/>
    <mergeCell ref="N23:T23"/>
    <mergeCell ref="N25:T25"/>
    <mergeCell ref="N26:T26"/>
    <mergeCell ref="U23:Z23"/>
    <mergeCell ref="U25:Z25"/>
    <mergeCell ref="N28:T28"/>
    <mergeCell ref="N21:T21"/>
    <mergeCell ref="N22:T22"/>
    <mergeCell ref="U20:AD20"/>
    <mergeCell ref="N33:T33"/>
    <mergeCell ref="N34:T34"/>
    <mergeCell ref="U33:Z33"/>
    <mergeCell ref="N55:S55"/>
    <mergeCell ref="T55:AC55"/>
    <mergeCell ref="U34:AG34"/>
    <mergeCell ref="G36:AK36"/>
    <mergeCell ref="N40:T40"/>
    <mergeCell ref="N41:T41"/>
    <mergeCell ref="U38:AJ38"/>
    <mergeCell ref="N38:T38"/>
    <mergeCell ref="N54:S54"/>
    <mergeCell ref="T54:AC54"/>
    <mergeCell ref="AB33:AG33"/>
    <mergeCell ref="AI33:AN33"/>
    <mergeCell ref="U40:AM40"/>
    <mergeCell ref="U41:AF41"/>
    <mergeCell ref="N57:S57"/>
    <mergeCell ref="N61:S61"/>
    <mergeCell ref="N60:S60"/>
    <mergeCell ref="W62:AF62"/>
    <mergeCell ref="U39:Z39"/>
    <mergeCell ref="N39:T39"/>
    <mergeCell ref="N45:T45"/>
    <mergeCell ref="N42:T42"/>
    <mergeCell ref="U42:Z42"/>
    <mergeCell ref="N43:T43"/>
    <mergeCell ref="U43:Z43"/>
    <mergeCell ref="N46:T46"/>
    <mergeCell ref="N59:AC59"/>
    <mergeCell ref="T57:AC57"/>
    <mergeCell ref="N53:S53"/>
    <mergeCell ref="T53:AC53"/>
    <mergeCell ref="W66:AE66"/>
    <mergeCell ref="W64:AC64"/>
    <mergeCell ref="U45:AD45"/>
    <mergeCell ref="U46:Z46"/>
    <mergeCell ref="T52:AC52"/>
    <mergeCell ref="N51:AC51"/>
    <mergeCell ref="N47:T47"/>
    <mergeCell ref="U47:Z47"/>
    <mergeCell ref="N48:T48"/>
    <mergeCell ref="U48:Z48"/>
    <mergeCell ref="N49:T49"/>
    <mergeCell ref="U49:AD49"/>
    <mergeCell ref="T60:AC60"/>
    <mergeCell ref="T61:AC61"/>
    <mergeCell ref="N56:S56"/>
    <mergeCell ref="T56:AC56"/>
    <mergeCell ref="H7:AF7"/>
    <mergeCell ref="K9:AE9"/>
    <mergeCell ref="K10:AE10"/>
    <mergeCell ref="K11:AE11"/>
    <mergeCell ref="K12:AE12"/>
    <mergeCell ref="K13:AE13"/>
    <mergeCell ref="U19:AD19"/>
    <mergeCell ref="K14:AE14"/>
    <mergeCell ref="U16:AD16"/>
    <mergeCell ref="U17:AD17"/>
    <mergeCell ref="N16:T16"/>
    <mergeCell ref="N17:T17"/>
    <mergeCell ref="N19:T19"/>
    <mergeCell ref="U26:Z26"/>
    <mergeCell ref="U27:Z27"/>
    <mergeCell ref="U28:AD28"/>
    <mergeCell ref="U32:Z32"/>
    <mergeCell ref="N31:T31"/>
    <mergeCell ref="U31:Z31"/>
    <mergeCell ref="N32:T32"/>
    <mergeCell ref="N27:T27"/>
    <mergeCell ref="U30:Z30"/>
    <mergeCell ref="N30:T30"/>
  </mergeCells>
  <dataValidations count="3">
    <dataValidation type="list" allowBlank="1" showInputMessage="1" showErrorMessage="1" sqref="W64">
      <formula1>"Yes,No"</formula1>
    </dataValidation>
    <dataValidation type="list" allowBlank="1" showInputMessage="1" showErrorMessage="1" sqref="U33:Z33 AB33:AG33 AI33:AN33">
      <formula1>INDIRECT(IF(LEN($U$32)&gt;2,"_Please_Select","_"&amp;$U$32))</formula1>
    </dataValidation>
    <dataValidation type="list" allowBlank="1" showInputMessage="1" showErrorMessage="1" sqref="U30:Z30">
      <formula1>"No,Yes"</formula1>
    </dataValidation>
  </dataValidations>
  <printOptions horizontalCentered="1"/>
  <pageMargins left="0.5" right="0.5" top="0.5" bottom="0.5" header="0.5" footer="0.5"/>
  <pageSetup scale="7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'01-Districts and Counties'!$B$1:$M$1</xm:f>
          </x14:formula1>
          <xm:sqref>U32:Z32</xm:sqref>
        </x14:dataValidation>
        <x14:dataValidation type="list" allowBlank="1" showInputMessage="1" showErrorMessage="1">
          <x14:formula1>
            <xm:f>'02-Relevant Item Codes'!$C$2:$C$893</xm:f>
          </x14:formula1>
          <xm:sqref>G36:AK36</xm:sqref>
        </x14:dataValidation>
        <x14:dataValidation type="list" allowBlank="1" showInputMessage="1" showErrorMessage="1">
          <x14:formula1>
            <xm:f>'04-JMF Mix Suppliers'!$A$2:$A$1003</xm:f>
          </x14:formula1>
          <xm:sqref>U38:AJ38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76"/>
  <sheetViews>
    <sheetView workbookViewId="0">
      <selection activeCell="J29" sqref="J29"/>
    </sheetView>
  </sheetViews>
  <sheetFormatPr defaultColWidth="8.85546875" defaultRowHeight="12.75" x14ac:dyDescent="0.2"/>
  <cols>
    <col min="1" max="1" width="52.42578125" style="6" bestFit="1" customWidth="1"/>
    <col min="2" max="2" width="18" style="40" customWidth="1"/>
    <col min="3" max="16384" width="8.85546875" style="6"/>
  </cols>
  <sheetData>
    <row r="1" spans="1:2" ht="15" x14ac:dyDescent="0.2">
      <c r="A1" s="38" t="s">
        <v>74</v>
      </c>
      <c r="B1" s="38" t="s">
        <v>75</v>
      </c>
    </row>
    <row r="2" spans="1:2" ht="15" x14ac:dyDescent="0.25">
      <c r="A2" s="118" t="s">
        <v>1376</v>
      </c>
      <c r="B2" s="119" t="s">
        <v>1375</v>
      </c>
    </row>
    <row r="3" spans="1:2" ht="15" x14ac:dyDescent="0.25">
      <c r="A3" s="118" t="s">
        <v>1378</v>
      </c>
      <c r="B3" s="119" t="s">
        <v>1377</v>
      </c>
    </row>
    <row r="4" spans="1:2" ht="15" x14ac:dyDescent="0.25">
      <c r="A4" s="118" t="s">
        <v>1380</v>
      </c>
      <c r="B4" s="119" t="s">
        <v>1379</v>
      </c>
    </row>
    <row r="5" spans="1:2" ht="15" x14ac:dyDescent="0.25">
      <c r="A5" s="118" t="s">
        <v>1382</v>
      </c>
      <c r="B5" s="119" t="s">
        <v>1381</v>
      </c>
    </row>
    <row r="6" spans="1:2" ht="15" x14ac:dyDescent="0.25">
      <c r="A6" s="118" t="s">
        <v>1384</v>
      </c>
      <c r="B6" s="119" t="s">
        <v>1383</v>
      </c>
    </row>
    <row r="7" spans="1:2" ht="15" x14ac:dyDescent="0.25">
      <c r="A7" s="118" t="s">
        <v>1386</v>
      </c>
      <c r="B7" s="119" t="s">
        <v>1385</v>
      </c>
    </row>
    <row r="8" spans="1:2" ht="15" x14ac:dyDescent="0.25">
      <c r="A8" s="118" t="s">
        <v>1388</v>
      </c>
      <c r="B8" s="119" t="s">
        <v>1387</v>
      </c>
    </row>
    <row r="9" spans="1:2" ht="15" x14ac:dyDescent="0.25">
      <c r="A9" s="118" t="s">
        <v>1390</v>
      </c>
      <c r="B9" s="119" t="s">
        <v>1389</v>
      </c>
    </row>
    <row r="10" spans="1:2" ht="15" x14ac:dyDescent="0.25">
      <c r="A10" s="118" t="s">
        <v>1392</v>
      </c>
      <c r="B10" s="119" t="s">
        <v>1391</v>
      </c>
    </row>
    <row r="11" spans="1:2" ht="15" x14ac:dyDescent="0.25">
      <c r="A11" s="118" t="s">
        <v>1394</v>
      </c>
      <c r="B11" s="119" t="s">
        <v>1393</v>
      </c>
    </row>
    <row r="12" spans="1:2" ht="15" x14ac:dyDescent="0.25">
      <c r="A12" s="118" t="s">
        <v>1396</v>
      </c>
      <c r="B12" s="119" t="s">
        <v>1395</v>
      </c>
    </row>
    <row r="13" spans="1:2" ht="15" x14ac:dyDescent="0.25">
      <c r="A13" s="118" t="s">
        <v>1398</v>
      </c>
      <c r="B13" s="119" t="s">
        <v>1397</v>
      </c>
    </row>
    <row r="14" spans="1:2" ht="15" x14ac:dyDescent="0.25">
      <c r="A14" s="118" t="s">
        <v>1400</v>
      </c>
      <c r="B14" s="119" t="s">
        <v>1399</v>
      </c>
    </row>
    <row r="15" spans="1:2" ht="15" x14ac:dyDescent="0.25">
      <c r="A15" s="118" t="s">
        <v>1402</v>
      </c>
      <c r="B15" s="119" t="s">
        <v>1401</v>
      </c>
    </row>
    <row r="16" spans="1:2" ht="15" x14ac:dyDescent="0.25">
      <c r="A16" s="118" t="s">
        <v>1404</v>
      </c>
      <c r="B16" s="119" t="s">
        <v>1403</v>
      </c>
    </row>
    <row r="17" spans="1:2" ht="15" x14ac:dyDescent="0.25">
      <c r="A17" s="118" t="s">
        <v>1406</v>
      </c>
      <c r="B17" s="119" t="s">
        <v>1405</v>
      </c>
    </row>
    <row r="18" spans="1:2" ht="15" x14ac:dyDescent="0.25">
      <c r="A18" s="118" t="s">
        <v>1408</v>
      </c>
      <c r="B18" s="119" t="s">
        <v>1407</v>
      </c>
    </row>
    <row r="19" spans="1:2" ht="15" x14ac:dyDescent="0.25">
      <c r="A19" s="118" t="s">
        <v>1410</v>
      </c>
      <c r="B19" s="119" t="s">
        <v>1409</v>
      </c>
    </row>
    <row r="20" spans="1:2" ht="15" x14ac:dyDescent="0.25">
      <c r="A20" s="118" t="s">
        <v>1412</v>
      </c>
      <c r="B20" s="119" t="s">
        <v>1411</v>
      </c>
    </row>
    <row r="21" spans="1:2" ht="15" x14ac:dyDescent="0.25">
      <c r="A21" s="118" t="s">
        <v>1414</v>
      </c>
      <c r="B21" s="119" t="s">
        <v>1413</v>
      </c>
    </row>
    <row r="22" spans="1:2" ht="15" x14ac:dyDescent="0.25">
      <c r="A22" s="118" t="s">
        <v>1416</v>
      </c>
      <c r="B22" s="119" t="s">
        <v>1415</v>
      </c>
    </row>
    <row r="23" spans="1:2" ht="15" x14ac:dyDescent="0.25">
      <c r="A23" s="118" t="s">
        <v>1418</v>
      </c>
      <c r="B23" s="119" t="s">
        <v>1417</v>
      </c>
    </row>
    <row r="24" spans="1:2" ht="15" x14ac:dyDescent="0.25">
      <c r="A24" s="118" t="s">
        <v>1420</v>
      </c>
      <c r="B24" s="119" t="s">
        <v>1419</v>
      </c>
    </row>
    <row r="25" spans="1:2" ht="15" x14ac:dyDescent="0.25">
      <c r="A25" s="118" t="s">
        <v>1422</v>
      </c>
      <c r="B25" s="119" t="s">
        <v>1421</v>
      </c>
    </row>
    <row r="26" spans="1:2" ht="15" x14ac:dyDescent="0.25">
      <c r="A26" s="118" t="s">
        <v>1424</v>
      </c>
      <c r="B26" s="119" t="s">
        <v>1423</v>
      </c>
    </row>
    <row r="27" spans="1:2" ht="15" x14ac:dyDescent="0.25">
      <c r="A27" s="118" t="s">
        <v>1426</v>
      </c>
      <c r="B27" s="119" t="s">
        <v>1425</v>
      </c>
    </row>
    <row r="28" spans="1:2" ht="15" x14ac:dyDescent="0.25">
      <c r="A28" s="118" t="s">
        <v>1428</v>
      </c>
      <c r="B28" s="119" t="s">
        <v>1427</v>
      </c>
    </row>
    <row r="29" spans="1:2" ht="15" x14ac:dyDescent="0.25">
      <c r="A29" s="118" t="s">
        <v>1430</v>
      </c>
      <c r="B29" s="119" t="s">
        <v>1429</v>
      </c>
    </row>
    <row r="30" spans="1:2" ht="15" x14ac:dyDescent="0.25">
      <c r="A30" s="118" t="s">
        <v>1432</v>
      </c>
      <c r="B30" s="119" t="s">
        <v>1431</v>
      </c>
    </row>
    <row r="31" spans="1:2" ht="15" x14ac:dyDescent="0.25">
      <c r="A31" s="118" t="s">
        <v>1434</v>
      </c>
      <c r="B31" s="119" t="s">
        <v>1433</v>
      </c>
    </row>
    <row r="32" spans="1:2" ht="15" x14ac:dyDescent="0.25">
      <c r="A32" s="118" t="s">
        <v>1436</v>
      </c>
      <c r="B32" s="119" t="s">
        <v>1435</v>
      </c>
    </row>
    <row r="33" spans="1:2" ht="15" x14ac:dyDescent="0.25">
      <c r="A33" s="118" t="s">
        <v>1438</v>
      </c>
      <c r="B33" s="119" t="s">
        <v>1437</v>
      </c>
    </row>
    <row r="34" spans="1:2" ht="15" x14ac:dyDescent="0.25">
      <c r="A34" s="118" t="s">
        <v>1440</v>
      </c>
      <c r="B34" s="119" t="s">
        <v>1439</v>
      </c>
    </row>
    <row r="35" spans="1:2" ht="15" x14ac:dyDescent="0.25">
      <c r="A35" s="118" t="s">
        <v>1442</v>
      </c>
      <c r="B35" s="119" t="s">
        <v>1441</v>
      </c>
    </row>
    <row r="36" spans="1:2" ht="15" x14ac:dyDescent="0.25">
      <c r="A36" s="118" t="s">
        <v>1444</v>
      </c>
      <c r="B36" s="119" t="s">
        <v>1443</v>
      </c>
    </row>
    <row r="37" spans="1:2" ht="15" x14ac:dyDescent="0.25">
      <c r="A37" s="118" t="s">
        <v>1446</v>
      </c>
      <c r="B37" s="119" t="s">
        <v>1445</v>
      </c>
    </row>
    <row r="38" spans="1:2" ht="15" x14ac:dyDescent="0.25">
      <c r="A38" s="118" t="s">
        <v>1448</v>
      </c>
      <c r="B38" s="119" t="s">
        <v>1447</v>
      </c>
    </row>
    <row r="39" spans="1:2" ht="15" x14ac:dyDescent="0.25">
      <c r="A39" s="118" t="s">
        <v>1450</v>
      </c>
      <c r="B39" s="119" t="s">
        <v>1449</v>
      </c>
    </row>
    <row r="40" spans="1:2" ht="15" x14ac:dyDescent="0.25">
      <c r="A40" s="118" t="s">
        <v>1452</v>
      </c>
      <c r="B40" s="119" t="s">
        <v>1451</v>
      </c>
    </row>
    <row r="41" spans="1:2" ht="15" x14ac:dyDescent="0.25">
      <c r="A41" s="118" t="s">
        <v>1454</v>
      </c>
      <c r="B41" s="119" t="s">
        <v>1453</v>
      </c>
    </row>
    <row r="42" spans="1:2" ht="15" x14ac:dyDescent="0.25">
      <c r="A42" s="118" t="s">
        <v>1456</v>
      </c>
      <c r="B42" s="119" t="s">
        <v>1455</v>
      </c>
    </row>
    <row r="43" spans="1:2" ht="15" x14ac:dyDescent="0.25">
      <c r="A43" s="118" t="s">
        <v>1458</v>
      </c>
      <c r="B43" s="119" t="s">
        <v>1457</v>
      </c>
    </row>
    <row r="44" spans="1:2" ht="15" x14ac:dyDescent="0.25">
      <c r="A44" s="118" t="s">
        <v>1460</v>
      </c>
      <c r="B44" s="119" t="s">
        <v>1459</v>
      </c>
    </row>
    <row r="45" spans="1:2" ht="15" x14ac:dyDescent="0.25">
      <c r="A45" s="118" t="s">
        <v>1462</v>
      </c>
      <c r="B45" s="119" t="s">
        <v>1461</v>
      </c>
    </row>
    <row r="46" spans="1:2" ht="15" x14ac:dyDescent="0.25">
      <c r="A46" s="118" t="s">
        <v>1464</v>
      </c>
      <c r="B46" s="119" t="s">
        <v>1463</v>
      </c>
    </row>
    <row r="47" spans="1:2" ht="15" x14ac:dyDescent="0.25">
      <c r="A47" s="118" t="s">
        <v>1466</v>
      </c>
      <c r="B47" s="119" t="s">
        <v>1465</v>
      </c>
    </row>
    <row r="48" spans="1:2" ht="15" x14ac:dyDescent="0.25">
      <c r="A48" s="118" t="s">
        <v>1468</v>
      </c>
      <c r="B48" s="119" t="s">
        <v>1467</v>
      </c>
    </row>
    <row r="49" spans="1:2" ht="15" x14ac:dyDescent="0.25">
      <c r="A49" s="118" t="s">
        <v>1470</v>
      </c>
      <c r="B49" s="119" t="s">
        <v>1469</v>
      </c>
    </row>
    <row r="50" spans="1:2" ht="15" x14ac:dyDescent="0.25">
      <c r="A50" s="118" t="s">
        <v>1472</v>
      </c>
      <c r="B50" s="119" t="s">
        <v>1471</v>
      </c>
    </row>
    <row r="51" spans="1:2" ht="15" x14ac:dyDescent="0.25">
      <c r="A51" s="118" t="s">
        <v>1474</v>
      </c>
      <c r="B51" s="119" t="s">
        <v>1473</v>
      </c>
    </row>
    <row r="52" spans="1:2" ht="15" x14ac:dyDescent="0.25">
      <c r="A52" s="118" t="s">
        <v>1476</v>
      </c>
      <c r="B52" s="119" t="s">
        <v>1475</v>
      </c>
    </row>
    <row r="53" spans="1:2" ht="15" x14ac:dyDescent="0.25">
      <c r="A53" s="118" t="s">
        <v>1478</v>
      </c>
      <c r="B53" s="119" t="s">
        <v>1477</v>
      </c>
    </row>
    <row r="54" spans="1:2" ht="15" x14ac:dyDescent="0.25">
      <c r="A54" s="118" t="s">
        <v>1480</v>
      </c>
      <c r="B54" s="119" t="s">
        <v>1479</v>
      </c>
    </row>
    <row r="55" spans="1:2" ht="15" x14ac:dyDescent="0.25">
      <c r="A55" s="118" t="s">
        <v>1482</v>
      </c>
      <c r="B55" s="119" t="s">
        <v>1481</v>
      </c>
    </row>
    <row r="56" spans="1:2" ht="15" x14ac:dyDescent="0.25">
      <c r="A56" s="118" t="s">
        <v>1484</v>
      </c>
      <c r="B56" s="119" t="s">
        <v>1483</v>
      </c>
    </row>
    <row r="57" spans="1:2" ht="15" x14ac:dyDescent="0.25">
      <c r="A57" s="118" t="s">
        <v>1486</v>
      </c>
      <c r="B57" s="119" t="s">
        <v>1485</v>
      </c>
    </row>
    <row r="58" spans="1:2" ht="15" x14ac:dyDescent="0.25">
      <c r="A58" s="118" t="s">
        <v>1488</v>
      </c>
      <c r="B58" s="119" t="s">
        <v>1487</v>
      </c>
    </row>
    <row r="59" spans="1:2" ht="15" x14ac:dyDescent="0.25">
      <c r="A59" s="118" t="s">
        <v>1489</v>
      </c>
      <c r="B59" s="119" t="s">
        <v>1411</v>
      </c>
    </row>
    <row r="60" spans="1:2" ht="15" x14ac:dyDescent="0.25">
      <c r="A60" s="118" t="s">
        <v>1491</v>
      </c>
      <c r="B60" s="119" t="s">
        <v>1490</v>
      </c>
    </row>
    <row r="61" spans="1:2" ht="15" x14ac:dyDescent="0.25">
      <c r="A61" s="118" t="s">
        <v>1492</v>
      </c>
      <c r="B61" s="119" t="s">
        <v>1415</v>
      </c>
    </row>
    <row r="62" spans="1:2" ht="15" x14ac:dyDescent="0.25">
      <c r="A62" s="118" t="s">
        <v>1494</v>
      </c>
      <c r="B62" s="119" t="s">
        <v>1493</v>
      </c>
    </row>
    <row r="63" spans="1:2" ht="15" x14ac:dyDescent="0.25">
      <c r="A63" s="118" t="s">
        <v>1496</v>
      </c>
      <c r="B63" s="119" t="s">
        <v>1495</v>
      </c>
    </row>
    <row r="64" spans="1:2" ht="15" x14ac:dyDescent="0.25">
      <c r="A64" s="118" t="s">
        <v>1498</v>
      </c>
      <c r="B64" s="119" t="s">
        <v>1497</v>
      </c>
    </row>
    <row r="65" spans="1:2" ht="15" x14ac:dyDescent="0.25">
      <c r="A65" s="118" t="s">
        <v>1500</v>
      </c>
      <c r="B65" s="119" t="s">
        <v>1499</v>
      </c>
    </row>
    <row r="66" spans="1:2" ht="15" x14ac:dyDescent="0.25">
      <c r="A66" s="118" t="s">
        <v>1502</v>
      </c>
      <c r="B66" s="119" t="s">
        <v>1501</v>
      </c>
    </row>
    <row r="67" spans="1:2" ht="15" x14ac:dyDescent="0.25">
      <c r="A67" s="118" t="s">
        <v>1504</v>
      </c>
      <c r="B67" s="119" t="s">
        <v>1503</v>
      </c>
    </row>
    <row r="68" spans="1:2" ht="15" x14ac:dyDescent="0.25">
      <c r="A68" s="118" t="s">
        <v>1506</v>
      </c>
      <c r="B68" s="119" t="s">
        <v>1505</v>
      </c>
    </row>
    <row r="69" spans="1:2" ht="15" x14ac:dyDescent="0.25">
      <c r="A69" s="118" t="s">
        <v>1508</v>
      </c>
      <c r="B69" s="119" t="s">
        <v>1507</v>
      </c>
    </row>
    <row r="70" spans="1:2" ht="15" x14ac:dyDescent="0.25">
      <c r="A70" s="118" t="s">
        <v>1510</v>
      </c>
      <c r="B70" s="119" t="s">
        <v>1509</v>
      </c>
    </row>
    <row r="71" spans="1:2" ht="15" x14ac:dyDescent="0.25">
      <c r="A71" s="118" t="s">
        <v>1512</v>
      </c>
      <c r="B71" s="119" t="s">
        <v>1511</v>
      </c>
    </row>
    <row r="72" spans="1:2" ht="15" x14ac:dyDescent="0.25">
      <c r="A72" s="118" t="s">
        <v>1514</v>
      </c>
      <c r="B72" s="119" t="s">
        <v>1513</v>
      </c>
    </row>
    <row r="73" spans="1:2" ht="15" x14ac:dyDescent="0.25">
      <c r="A73" s="118" t="s">
        <v>1516</v>
      </c>
      <c r="B73" s="119" t="s">
        <v>1515</v>
      </c>
    </row>
    <row r="74" spans="1:2" ht="15" x14ac:dyDescent="0.25">
      <c r="A74" s="118" t="s">
        <v>1518</v>
      </c>
      <c r="B74" s="119" t="s">
        <v>1517</v>
      </c>
    </row>
    <row r="75" spans="1:2" ht="15" x14ac:dyDescent="0.25">
      <c r="A75" s="118" t="s">
        <v>1520</v>
      </c>
      <c r="B75" s="119" t="s">
        <v>1519</v>
      </c>
    </row>
    <row r="76" spans="1:2" ht="15" x14ac:dyDescent="0.25">
      <c r="A76" s="118" t="s">
        <v>1522</v>
      </c>
      <c r="B76" s="119" t="s">
        <v>1521</v>
      </c>
    </row>
  </sheetData>
  <sheetProtection algorithmName="SHA-512" hashValue="cgYWrKsy05kp/t++ZSITczibQIzBt4MPcI/AhCFRymhMskfGclSS1UvixmJ0fXdxsN3cP4ywG6o++oqpdXDWgg==" saltValue="Yrk3L3U6FaaHPRyeON+tb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U130"/>
  <sheetViews>
    <sheetView view="pageBreakPreview" topLeftCell="A26" zoomScale="115" zoomScaleNormal="80" zoomScaleSheetLayoutView="115" workbookViewId="0">
      <selection activeCell="AE55" sqref="AE55"/>
    </sheetView>
  </sheetViews>
  <sheetFormatPr defaultColWidth="9.140625" defaultRowHeight="14.1" customHeight="1" x14ac:dyDescent="0.2"/>
  <cols>
    <col min="1" max="18" width="2.85546875" style="51" customWidth="1"/>
    <col min="19" max="19" width="3.7109375" style="51" customWidth="1"/>
    <col min="20" max="41" width="2.85546875" style="51" customWidth="1"/>
    <col min="42" max="16384" width="9.140625" style="51"/>
  </cols>
  <sheetData>
    <row r="1" spans="1:41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1:41" ht="18" customHeight="1" x14ac:dyDescent="0.2">
      <c r="A9" s="284" t="s">
        <v>1652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1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8" customHeight="1" x14ac:dyDescent="0.2">
      <c r="A11" s="50"/>
      <c r="B11" s="98" t="s">
        <v>1294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</row>
    <row r="12" spans="1:41" ht="6" customHeigh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</row>
    <row r="13" spans="1:41" ht="18" customHeight="1" x14ac:dyDescent="0.2">
      <c r="A13" s="75"/>
      <c r="B13" s="288" t="s">
        <v>1292</v>
      </c>
      <c r="C13" s="289"/>
      <c r="D13" s="289"/>
      <c r="E13" s="289"/>
      <c r="F13" s="289"/>
      <c r="G13" s="290"/>
      <c r="H13" s="292" t="str">
        <f>IF('TRANS. COV.'!U38&lt;&gt;"",'TRANS. COV.'!U38,"")</f>
        <v>SMITH MICRO PAVING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4"/>
      <c r="U13" s="50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</row>
    <row r="14" spans="1:41" ht="18" customHeight="1" x14ac:dyDescent="0.2">
      <c r="A14" s="75"/>
      <c r="B14" s="288" t="s">
        <v>46</v>
      </c>
      <c r="C14" s="289"/>
      <c r="D14" s="289"/>
      <c r="E14" s="289"/>
      <c r="F14" s="289"/>
      <c r="G14" s="290"/>
      <c r="H14" s="295" t="str">
        <f>IF('TRANS. COV.'!U31&lt;&gt;"",'TRANS. COV.'!U31,"")</f>
        <v>18-5555</v>
      </c>
      <c r="I14" s="296"/>
      <c r="J14" s="296"/>
      <c r="K14" s="296"/>
      <c r="L14" s="296"/>
      <c r="M14" s="296"/>
      <c r="N14" s="296"/>
      <c r="O14" s="296"/>
      <c r="P14" s="296"/>
      <c r="Q14" s="297"/>
      <c r="R14" s="50"/>
      <c r="S14" s="50"/>
      <c r="T14" s="50"/>
      <c r="U14" s="50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</row>
    <row r="15" spans="1:41" ht="18" customHeight="1" x14ac:dyDescent="0.2">
      <c r="A15" s="75"/>
      <c r="B15" s="288" t="s">
        <v>49</v>
      </c>
      <c r="C15" s="289"/>
      <c r="D15" s="289"/>
      <c r="E15" s="289"/>
      <c r="F15" s="289"/>
      <c r="G15" s="290"/>
      <c r="H15" s="281" t="str">
        <f>IF('TRANS. COV.'!G36&lt;&gt;"",LEFT('TRANS. COV.'!G36,9),"")</f>
        <v>421E10011</v>
      </c>
      <c r="I15" s="282"/>
      <c r="J15" s="282"/>
      <c r="K15" s="282"/>
      <c r="L15" s="282"/>
      <c r="M15" s="282"/>
      <c r="N15" s="282"/>
      <c r="O15" s="282"/>
      <c r="P15" s="282"/>
      <c r="Q15" s="283"/>
      <c r="R15" s="50"/>
      <c r="S15" s="50"/>
      <c r="T15" s="50"/>
      <c r="U15" s="50"/>
      <c r="V15" s="75"/>
      <c r="W15" s="225" t="s">
        <v>48</v>
      </c>
      <c r="X15" s="225"/>
      <c r="Y15" s="225"/>
      <c r="Z15" s="225"/>
      <c r="AA15" s="225"/>
      <c r="AB15" s="225"/>
      <c r="AC15" s="286">
        <v>2016</v>
      </c>
      <c r="AD15" s="286"/>
      <c r="AE15" s="286"/>
      <c r="AF15" s="286"/>
      <c r="AG15" s="286"/>
      <c r="AH15" s="75"/>
      <c r="AI15" s="75"/>
      <c r="AJ15" s="75"/>
      <c r="AK15" s="75"/>
      <c r="AL15" s="75"/>
      <c r="AM15" s="75"/>
      <c r="AN15" s="75"/>
      <c r="AO15" s="75"/>
    </row>
    <row r="16" spans="1:41" ht="18" customHeight="1" x14ac:dyDescent="0.2">
      <c r="A16" s="75"/>
      <c r="B16" s="291" t="s">
        <v>73</v>
      </c>
      <c r="C16" s="291"/>
      <c r="D16" s="291"/>
      <c r="E16" s="291"/>
      <c r="F16" s="291"/>
      <c r="G16" s="291"/>
      <c r="H16" s="281" t="str">
        <f>IF(H15&lt;&gt;"",IF(COUNTIF(H15,"*"&amp;"421E"&amp;"*")&gt;0,"Item 421",IF(COUNTIF(H15,"*"&amp;"881E"&amp;"*")&gt;0,"SS-881","Error")),"")</f>
        <v>Item 421</v>
      </c>
      <c r="I16" s="282"/>
      <c r="J16" s="282"/>
      <c r="K16" s="282"/>
      <c r="L16" s="282"/>
      <c r="M16" s="282"/>
      <c r="N16" s="282"/>
      <c r="O16" s="282"/>
      <c r="P16" s="282"/>
      <c r="Q16" s="283"/>
      <c r="R16" s="50"/>
      <c r="S16" s="50"/>
      <c r="T16" s="50"/>
      <c r="U16" s="50"/>
      <c r="V16" s="75"/>
      <c r="W16" s="225" t="s">
        <v>47</v>
      </c>
      <c r="X16" s="225"/>
      <c r="Y16" s="225"/>
      <c r="Z16" s="225"/>
      <c r="AA16" s="225"/>
      <c r="AB16" s="225"/>
      <c r="AC16" s="285">
        <v>43119</v>
      </c>
      <c r="AD16" s="286"/>
      <c r="AE16" s="286"/>
      <c r="AF16" s="286"/>
      <c r="AG16" s="286"/>
      <c r="AH16" s="75"/>
      <c r="AI16" s="75"/>
      <c r="AJ16" s="75"/>
      <c r="AK16" s="75"/>
      <c r="AL16" s="75"/>
      <c r="AM16" s="75"/>
      <c r="AN16" s="75"/>
      <c r="AO16" s="75"/>
    </row>
    <row r="17" spans="1:73" ht="18" customHeight="1" x14ac:dyDescent="0.2">
      <c r="A17" s="75"/>
      <c r="B17" s="291" t="s">
        <v>72</v>
      </c>
      <c r="C17" s="291"/>
      <c r="D17" s="291"/>
      <c r="E17" s="291"/>
      <c r="F17" s="291"/>
      <c r="G17" s="291"/>
      <c r="H17" s="281" t="str">
        <f>IF('TRANS. COV.'!G36&lt;&gt;"",IF(AND(COUNTIF('TRANS. COV.'!G36,"*"&amp;"AS"&amp;"*")&gt;0,COUNTIF('TRANS. COV.'!G36,"*"&amp;"PER"&amp;"*")&gt;0,COUNTIF('TRANS. COV.'!G36,"*"&amp;"PLAN"&amp;"*")&gt;0),"Yes","No"),"")</f>
        <v>Yes</v>
      </c>
      <c r="I17" s="282"/>
      <c r="J17" s="282"/>
      <c r="K17" s="282"/>
      <c r="L17" s="282"/>
      <c r="M17" s="282"/>
      <c r="N17" s="282"/>
      <c r="O17" s="282"/>
      <c r="P17" s="282"/>
      <c r="Q17" s="283"/>
      <c r="R17" s="50"/>
      <c r="S17" s="50"/>
      <c r="T17" s="50"/>
      <c r="U17" s="50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</row>
    <row r="18" spans="1:73" ht="18" customHeight="1" x14ac:dyDescent="0.2">
      <c r="A18" s="75"/>
      <c r="B18" s="288" t="s">
        <v>1590</v>
      </c>
      <c r="C18" s="289"/>
      <c r="D18" s="289"/>
      <c r="E18" s="289"/>
      <c r="F18" s="289"/>
      <c r="G18" s="290"/>
      <c r="H18" s="287">
        <v>56</v>
      </c>
      <c r="I18" s="287"/>
      <c r="J18" s="287"/>
      <c r="K18" s="287"/>
      <c r="L18" s="287"/>
      <c r="M18" s="287"/>
      <c r="N18" s="287"/>
      <c r="O18" s="287"/>
      <c r="P18" s="287"/>
      <c r="Q18" s="287"/>
      <c r="R18" s="50"/>
      <c r="S18" s="50"/>
      <c r="T18" s="50"/>
      <c r="U18" s="50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Q18" s="76"/>
      <c r="AR18" s="76"/>
      <c r="AS18" s="76"/>
    </row>
    <row r="19" spans="1:73" ht="18" customHeight="1" x14ac:dyDescent="0.2">
      <c r="A19" s="75"/>
      <c r="B19" s="298"/>
      <c r="C19" s="299"/>
      <c r="D19" s="299"/>
      <c r="E19" s="299"/>
      <c r="F19" s="299"/>
      <c r="G19" s="300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50"/>
      <c r="S19" s="50"/>
      <c r="T19" s="50"/>
      <c r="U19" s="50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Q19" s="76"/>
      <c r="AR19" s="76"/>
      <c r="AS19" s="76"/>
    </row>
    <row r="20" spans="1:73" ht="18" customHeight="1" x14ac:dyDescent="0.2">
      <c r="A20" s="75"/>
      <c r="B20" s="301"/>
      <c r="C20" s="302"/>
      <c r="D20" s="302"/>
      <c r="E20" s="302"/>
      <c r="F20" s="302"/>
      <c r="G20" s="303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50"/>
      <c r="S20" s="50"/>
      <c r="T20" s="50"/>
      <c r="U20" s="50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Q20" s="76"/>
      <c r="AR20" s="76"/>
      <c r="AS20" s="76"/>
    </row>
    <row r="21" spans="1:73" ht="18" customHeight="1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50"/>
      <c r="S21" s="50"/>
      <c r="T21" s="50"/>
      <c r="U21" s="50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Q21" s="76"/>
      <c r="AR21" s="76"/>
      <c r="AS21" s="76"/>
    </row>
    <row r="22" spans="1:73" ht="18" customHeight="1" x14ac:dyDescent="0.2">
      <c r="A22" s="75"/>
      <c r="B22" s="88" t="s">
        <v>1252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50"/>
      <c r="S22" s="50"/>
      <c r="T22" s="50"/>
      <c r="U22" s="50" t="s">
        <v>1576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</row>
    <row r="23" spans="1:73" ht="6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50"/>
      <c r="S23" s="50"/>
      <c r="T23" s="50"/>
      <c r="U23" s="50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73" ht="18" customHeight="1" x14ac:dyDescent="0.2">
      <c r="A24" s="75"/>
      <c r="B24" s="304" t="s">
        <v>35</v>
      </c>
      <c r="C24" s="304"/>
      <c r="D24" s="304"/>
      <c r="E24" s="304"/>
      <c r="F24" s="304"/>
      <c r="G24" s="304"/>
      <c r="H24" s="309" t="s">
        <v>1295</v>
      </c>
      <c r="I24" s="310"/>
      <c r="J24" s="310"/>
      <c r="K24" s="310"/>
      <c r="L24" s="310"/>
      <c r="M24" s="311"/>
      <c r="N24" s="75"/>
      <c r="O24" s="75"/>
      <c r="P24" s="75"/>
      <c r="Q24" s="75"/>
      <c r="R24" s="75"/>
      <c r="S24" s="50"/>
      <c r="T24" s="50"/>
      <c r="U24" s="323" t="s">
        <v>1639</v>
      </c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75"/>
    </row>
    <row r="25" spans="1:73" ht="18" customHeight="1" x14ac:dyDescent="0.2">
      <c r="A25" s="75"/>
      <c r="B25" s="305" t="s">
        <v>1622</v>
      </c>
      <c r="C25" s="306"/>
      <c r="D25" s="306"/>
      <c r="E25" s="306"/>
      <c r="F25" s="306"/>
      <c r="G25" s="307"/>
      <c r="H25" s="286" t="s">
        <v>1635</v>
      </c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75"/>
      <c r="T25" s="75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75"/>
    </row>
    <row r="26" spans="1:73" ht="18" customHeight="1" x14ac:dyDescent="0.2">
      <c r="A26" s="75"/>
      <c r="B26" s="304" t="s">
        <v>979</v>
      </c>
      <c r="C26" s="304"/>
      <c r="D26" s="304"/>
      <c r="E26" s="304"/>
      <c r="F26" s="304"/>
      <c r="G26" s="304"/>
      <c r="H26" s="319" t="str">
        <f>IF(H24="421-A","177421A",IF(H24="421-B","177421B","Error"))</f>
        <v>177421A</v>
      </c>
      <c r="I26" s="320"/>
      <c r="J26" s="320"/>
      <c r="K26" s="320"/>
      <c r="L26" s="320"/>
      <c r="M26" s="321"/>
      <c r="N26" s="75"/>
      <c r="O26" s="75"/>
      <c r="P26" s="75"/>
      <c r="Q26" s="75"/>
      <c r="R26" s="75"/>
      <c r="S26" s="50"/>
      <c r="T26" s="50"/>
      <c r="U26" s="50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</row>
    <row r="27" spans="1:73" ht="18" customHeight="1" x14ac:dyDescent="0.2">
      <c r="A27" s="75"/>
      <c r="B27" s="304" t="s">
        <v>1269</v>
      </c>
      <c r="C27" s="304"/>
      <c r="D27" s="304"/>
      <c r="E27" s="304"/>
      <c r="F27" s="304"/>
      <c r="G27" s="304"/>
      <c r="H27" s="312">
        <v>5555</v>
      </c>
      <c r="I27" s="313"/>
      <c r="J27" s="313"/>
      <c r="K27" s="313"/>
      <c r="L27" s="313"/>
      <c r="M27" s="314"/>
      <c r="N27" s="75"/>
      <c r="O27" s="75"/>
      <c r="P27" s="75"/>
      <c r="Q27" s="75"/>
      <c r="R27" s="75"/>
      <c r="S27" s="75"/>
      <c r="T27" s="75"/>
      <c r="U27" s="50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</row>
    <row r="28" spans="1:73" ht="18" customHeight="1" x14ac:dyDescent="0.2">
      <c r="A28" s="7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</row>
    <row r="29" spans="1:73" ht="18" customHeight="1" x14ac:dyDescent="0.2">
      <c r="A29" s="75"/>
      <c r="B29" s="322" t="s">
        <v>1301</v>
      </c>
      <c r="C29" s="322"/>
      <c r="D29" s="322"/>
      <c r="E29" s="322"/>
      <c r="F29" s="322"/>
      <c r="G29" s="322"/>
      <c r="H29" s="322"/>
      <c r="I29" s="322"/>
      <c r="J29" s="322"/>
      <c r="K29" s="322"/>
      <c r="L29" s="317" t="s">
        <v>1300</v>
      </c>
      <c r="M29" s="317"/>
      <c r="N29" s="317"/>
      <c r="O29" s="317"/>
      <c r="P29" s="317"/>
      <c r="Q29" s="317"/>
      <c r="R29" s="317"/>
      <c r="S29" s="317"/>
      <c r="T29" s="317"/>
      <c r="U29" s="317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</row>
    <row r="30" spans="1:73" ht="18" customHeight="1" x14ac:dyDescent="0.2">
      <c r="A30" s="75"/>
      <c r="B30" s="315" t="s">
        <v>1276</v>
      </c>
      <c r="C30" s="315"/>
      <c r="D30" s="315"/>
      <c r="E30" s="315"/>
      <c r="F30" s="315"/>
      <c r="G30" s="315"/>
      <c r="H30" s="315"/>
      <c r="I30" s="315"/>
      <c r="J30" s="315"/>
      <c r="K30" s="315"/>
      <c r="L30" s="308">
        <v>1</v>
      </c>
      <c r="M30" s="308"/>
      <c r="N30" s="308"/>
      <c r="O30" s="308"/>
      <c r="P30" s="256" t="str">
        <f>IF(L30&lt;&gt;"","+/-","")</f>
        <v>+/-</v>
      </c>
      <c r="Q30" s="257"/>
      <c r="R30" s="308">
        <v>0.3</v>
      </c>
      <c r="S30" s="308"/>
      <c r="T30" s="308"/>
      <c r="U30" s="318"/>
      <c r="V30" s="248" t="s">
        <v>1598</v>
      </c>
      <c r="W30" s="249"/>
      <c r="X30" s="249"/>
      <c r="Y30" s="249"/>
      <c r="Z30" s="75" t="s">
        <v>1302</v>
      </c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</row>
    <row r="31" spans="1:73" ht="18" customHeight="1" x14ac:dyDescent="0.2">
      <c r="A31" s="75"/>
      <c r="B31" s="316" t="s">
        <v>1585</v>
      </c>
      <c r="C31" s="316"/>
      <c r="D31" s="316"/>
      <c r="E31" s="316"/>
      <c r="F31" s="316"/>
      <c r="G31" s="316"/>
      <c r="H31" s="316"/>
      <c r="I31" s="316"/>
      <c r="J31" s="316"/>
      <c r="K31" s="316"/>
      <c r="L31" s="263">
        <v>10</v>
      </c>
      <c r="M31" s="263"/>
      <c r="N31" s="263"/>
      <c r="O31" s="263"/>
      <c r="P31" s="256" t="str">
        <f>IF(L31&lt;&gt;"","+/-","")</f>
        <v>+/-</v>
      </c>
      <c r="Q31" s="257"/>
      <c r="R31" s="308">
        <v>0.5</v>
      </c>
      <c r="S31" s="308"/>
      <c r="T31" s="308"/>
      <c r="U31" s="308"/>
      <c r="V31" s="248" t="s">
        <v>1599</v>
      </c>
      <c r="W31" s="249"/>
      <c r="X31" s="249"/>
      <c r="Y31" s="249"/>
      <c r="Z31" s="75" t="s">
        <v>1303</v>
      </c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</row>
    <row r="32" spans="1:73" ht="18" customHeight="1" x14ac:dyDescent="0.2">
      <c r="A32" s="75"/>
      <c r="B32" s="316" t="s">
        <v>1574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253">
        <v>7</v>
      </c>
      <c r="M32" s="254"/>
      <c r="N32" s="254"/>
      <c r="O32" s="255"/>
      <c r="P32" s="256" t="str">
        <f>IF(L32&lt;&gt;"","+/-","")</f>
        <v>+/-</v>
      </c>
      <c r="Q32" s="257"/>
      <c r="R32" s="308">
        <v>1</v>
      </c>
      <c r="S32" s="308"/>
      <c r="T32" s="308"/>
      <c r="U32" s="308"/>
      <c r="V32" s="75"/>
      <c r="W32" s="75"/>
      <c r="X32" s="75"/>
      <c r="Y32" s="75" t="s">
        <v>1600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</row>
    <row r="33" spans="1:73" ht="18" customHeight="1" x14ac:dyDescent="0.2">
      <c r="A33" s="75"/>
      <c r="B33" s="315" t="s">
        <v>1601</v>
      </c>
      <c r="C33" s="315"/>
      <c r="D33" s="315"/>
      <c r="E33" s="315"/>
      <c r="F33" s="315"/>
      <c r="G33" s="315"/>
      <c r="H33" s="315"/>
      <c r="I33" s="315"/>
      <c r="J33" s="315"/>
      <c r="K33" s="315"/>
      <c r="L33" s="308">
        <v>0.02</v>
      </c>
      <c r="M33" s="308"/>
      <c r="N33" s="308"/>
      <c r="O33" s="308"/>
      <c r="P33" s="256" t="str">
        <f>IF(L33&lt;&gt;"","+/-","")</f>
        <v>+/-</v>
      </c>
      <c r="Q33" s="257"/>
      <c r="R33" s="308">
        <v>0.02</v>
      </c>
      <c r="S33" s="308"/>
      <c r="T33" s="308"/>
      <c r="U33" s="308"/>
      <c r="V33" s="248" t="s">
        <v>1603</v>
      </c>
      <c r="W33" s="249"/>
      <c r="X33" s="249"/>
      <c r="Y33" s="249"/>
      <c r="Z33" s="75" t="s">
        <v>1602</v>
      </c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</row>
    <row r="34" spans="1:73" ht="18" customHeight="1" x14ac:dyDescent="0.2">
      <c r="A34" s="75"/>
      <c r="B34" s="250" t="s">
        <v>1604</v>
      </c>
      <c r="C34" s="251"/>
      <c r="D34" s="251"/>
      <c r="E34" s="251"/>
      <c r="F34" s="251"/>
      <c r="G34" s="251"/>
      <c r="H34" s="251"/>
      <c r="I34" s="251"/>
      <c r="J34" s="251"/>
      <c r="K34" s="252"/>
      <c r="L34" s="253">
        <v>30</v>
      </c>
      <c r="M34" s="254"/>
      <c r="N34" s="254"/>
      <c r="O34" s="255"/>
      <c r="P34" s="256" t="s">
        <v>1605</v>
      </c>
      <c r="Q34" s="257"/>
      <c r="R34" s="253">
        <v>1</v>
      </c>
      <c r="S34" s="254"/>
      <c r="T34" s="254"/>
      <c r="U34" s="255"/>
      <c r="V34" s="152"/>
      <c r="W34" s="152"/>
      <c r="X34" s="152"/>
      <c r="Y34" s="152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</row>
    <row r="35" spans="1:73" ht="18" customHeight="1" x14ac:dyDescent="0.2">
      <c r="A35" s="75"/>
      <c r="B35" s="315" t="s">
        <v>1248</v>
      </c>
      <c r="C35" s="315"/>
      <c r="D35" s="315"/>
      <c r="E35" s="315"/>
      <c r="F35" s="315"/>
      <c r="G35" s="315"/>
      <c r="H35" s="315"/>
      <c r="I35" s="315"/>
      <c r="J35" s="315"/>
      <c r="K35" s="315"/>
      <c r="L35" s="325">
        <f>IFERROR(ROUND(L36/'JMF SHEET PG 4'!AG45*100,1),"")</f>
        <v>12.4</v>
      </c>
      <c r="M35" s="325"/>
      <c r="N35" s="325"/>
      <c r="O35" s="325"/>
      <c r="P35" s="325"/>
      <c r="Q35" s="325"/>
      <c r="R35" s="325"/>
      <c r="S35" s="325"/>
      <c r="T35" s="325"/>
      <c r="U35" s="32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</row>
    <row r="36" spans="1:73" ht="18" customHeight="1" x14ac:dyDescent="0.2">
      <c r="A36" s="75"/>
      <c r="B36" s="315" t="s">
        <v>1249</v>
      </c>
      <c r="C36" s="315"/>
      <c r="D36" s="315"/>
      <c r="E36" s="315"/>
      <c r="F36" s="315"/>
      <c r="G36" s="315"/>
      <c r="H36" s="315"/>
      <c r="I36" s="315"/>
      <c r="J36" s="315"/>
      <c r="K36" s="315"/>
      <c r="L36" s="263">
        <v>8</v>
      </c>
      <c r="M36" s="263"/>
      <c r="N36" s="263"/>
      <c r="O36" s="263"/>
      <c r="P36" s="263"/>
      <c r="Q36" s="263"/>
      <c r="R36" s="263"/>
      <c r="S36" s="263"/>
      <c r="T36" s="263"/>
      <c r="U36" s="263"/>
      <c r="V36" s="320" t="str">
        <f>IF(H24&lt;&gt;"",IF(AND(H24="421-A",L36&gt;=7,L36&lt;=8.5),"Pass",IF(AND(H24="421-B",L36&gt;=6.5,L36&lt;=8),"Pass","Fail")),"")</f>
        <v>Pass</v>
      </c>
      <c r="W36" s="320"/>
      <c r="X36" s="320"/>
      <c r="Y36" s="321"/>
      <c r="Z36" s="75" t="s">
        <v>1304</v>
      </c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</row>
    <row r="37" spans="1:73" ht="18" customHeigh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50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</row>
    <row r="38" spans="1:73" ht="18" customHeight="1" x14ac:dyDescent="0.2">
      <c r="A38" s="75"/>
      <c r="B38" s="138" t="s">
        <v>1586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50"/>
      <c r="V38" s="75"/>
      <c r="W38" s="75"/>
      <c r="X38" s="75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75"/>
    </row>
    <row r="39" spans="1:73" ht="6" customHeigh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75"/>
    </row>
    <row r="40" spans="1:73" ht="18" customHeight="1" x14ac:dyDescent="0.2">
      <c r="A40" s="75"/>
      <c r="B40" s="324" t="s">
        <v>1207</v>
      </c>
      <c r="C40" s="324"/>
      <c r="D40" s="324"/>
      <c r="E40" s="324"/>
      <c r="F40" s="324"/>
      <c r="G40" s="324" t="s">
        <v>1194</v>
      </c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 t="s">
        <v>172</v>
      </c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 t="s">
        <v>1205</v>
      </c>
      <c r="AF40" s="324"/>
      <c r="AG40" s="324"/>
      <c r="AH40" s="324"/>
      <c r="AI40" s="324"/>
      <c r="AJ40" s="324"/>
      <c r="AK40" s="324" t="s">
        <v>1206</v>
      </c>
      <c r="AL40" s="324"/>
      <c r="AM40" s="324"/>
      <c r="AN40" s="324"/>
      <c r="AO40" s="75"/>
    </row>
    <row r="41" spans="1:73" ht="18" customHeight="1" x14ac:dyDescent="0.2">
      <c r="A41" s="75"/>
      <c r="B41" s="315" t="s">
        <v>1197</v>
      </c>
      <c r="C41" s="315"/>
      <c r="D41" s="315"/>
      <c r="E41" s="315"/>
      <c r="F41" s="315"/>
      <c r="G41" s="262" t="s">
        <v>1641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315" t="s">
        <v>1202</v>
      </c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253">
        <v>14</v>
      </c>
      <c r="AF41" s="254"/>
      <c r="AG41" s="254"/>
      <c r="AH41" s="267" t="s">
        <v>1316</v>
      </c>
      <c r="AI41" s="267"/>
      <c r="AJ41" s="267"/>
      <c r="AK41" s="188" t="str">
        <f>IF(AE41&gt;=12,"Pass","Fail")</f>
        <v>Pass</v>
      </c>
      <c r="AL41" s="188"/>
      <c r="AM41" s="188"/>
      <c r="AN41" s="188"/>
      <c r="AO41" s="75"/>
    </row>
    <row r="42" spans="1:73" ht="18" customHeight="1" x14ac:dyDescent="0.2">
      <c r="A42" s="75"/>
      <c r="B42" s="315"/>
      <c r="C42" s="315"/>
      <c r="D42" s="315"/>
      <c r="E42" s="315"/>
      <c r="F42" s="315"/>
      <c r="G42" s="262" t="s">
        <v>1642</v>
      </c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315" t="s">
        <v>1203</v>
      </c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253">
        <v>15</v>
      </c>
      <c r="AF42" s="254"/>
      <c r="AG42" s="254"/>
      <c r="AH42" s="267" t="s">
        <v>1305</v>
      </c>
      <c r="AI42" s="267"/>
      <c r="AJ42" s="267"/>
      <c r="AK42" s="188" t="str">
        <f>IF(OR(AE42&gt;=20,AH42="Near Spin"),"Pass","Fail")</f>
        <v>Pass</v>
      </c>
      <c r="AL42" s="188"/>
      <c r="AM42" s="188"/>
      <c r="AN42" s="188"/>
      <c r="AO42" s="75"/>
    </row>
    <row r="43" spans="1:73" ht="18" customHeight="1" x14ac:dyDescent="0.2">
      <c r="A43" s="75"/>
      <c r="B43" s="271" t="s">
        <v>1197</v>
      </c>
      <c r="C43" s="272"/>
      <c r="D43" s="272"/>
      <c r="E43" s="272"/>
      <c r="F43" s="273"/>
      <c r="G43" s="262" t="s">
        <v>1644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315" t="s">
        <v>1202</v>
      </c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253">
        <v>16</v>
      </c>
      <c r="AF43" s="254"/>
      <c r="AG43" s="254"/>
      <c r="AH43" s="267" t="s">
        <v>1316</v>
      </c>
      <c r="AI43" s="267"/>
      <c r="AJ43" s="267"/>
      <c r="AK43" s="188" t="str">
        <f>IF(AE43&gt;=12,"Pass","Fail")</f>
        <v>Pass</v>
      </c>
      <c r="AL43" s="188"/>
      <c r="AM43" s="188"/>
      <c r="AN43" s="188"/>
      <c r="AO43" s="75"/>
    </row>
    <row r="44" spans="1:73" ht="18" customHeight="1" x14ac:dyDescent="0.2">
      <c r="A44" s="75"/>
      <c r="B44" s="248"/>
      <c r="C44" s="249"/>
      <c r="D44" s="249"/>
      <c r="E44" s="249"/>
      <c r="F44" s="326"/>
      <c r="G44" s="262" t="s">
        <v>1309</v>
      </c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315" t="s">
        <v>1203</v>
      </c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253">
        <v>20</v>
      </c>
      <c r="AF44" s="254"/>
      <c r="AG44" s="254"/>
      <c r="AH44" s="267" t="s">
        <v>1305</v>
      </c>
      <c r="AI44" s="267"/>
      <c r="AJ44" s="267"/>
      <c r="AK44" s="188" t="str">
        <f>IF(OR(AE44&gt;=20,AH44="Near Spin"),"Pass","Fail")</f>
        <v>Pass</v>
      </c>
      <c r="AL44" s="188"/>
      <c r="AM44" s="188"/>
      <c r="AN44" s="188"/>
      <c r="AO44" s="75"/>
    </row>
    <row r="45" spans="1:73" ht="18" customHeight="1" x14ac:dyDescent="0.2">
      <c r="A45" s="75"/>
      <c r="B45" s="274"/>
      <c r="C45" s="275"/>
      <c r="D45" s="275"/>
      <c r="E45" s="275"/>
      <c r="F45" s="276"/>
      <c r="G45" s="277" t="s">
        <v>1643</v>
      </c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9"/>
      <c r="T45" s="277" t="s">
        <v>1645</v>
      </c>
      <c r="U45" s="278"/>
      <c r="V45" s="278"/>
      <c r="W45" s="278"/>
      <c r="X45" s="278"/>
      <c r="Y45" s="278"/>
      <c r="Z45" s="278"/>
      <c r="AA45" s="278"/>
      <c r="AB45" s="278"/>
      <c r="AC45" s="278"/>
      <c r="AD45" s="279"/>
      <c r="AE45" s="327">
        <v>90</v>
      </c>
      <c r="AF45" s="328"/>
      <c r="AG45" s="328"/>
      <c r="AH45" s="328"/>
      <c r="AI45" s="328"/>
      <c r="AJ45" s="329"/>
      <c r="AK45" s="319"/>
      <c r="AL45" s="320"/>
      <c r="AM45" s="320"/>
      <c r="AN45" s="321"/>
      <c r="AO45" s="75"/>
    </row>
    <row r="46" spans="1:73" ht="18" customHeight="1" x14ac:dyDescent="0.2">
      <c r="A46" s="75"/>
      <c r="B46" s="315" t="s">
        <v>1198</v>
      </c>
      <c r="C46" s="315"/>
      <c r="D46" s="315"/>
      <c r="E46" s="315"/>
      <c r="F46" s="315"/>
      <c r="G46" s="262" t="s">
        <v>1310</v>
      </c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315" t="s">
        <v>1204</v>
      </c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263">
        <v>93</v>
      </c>
      <c r="AF46" s="263"/>
      <c r="AG46" s="263"/>
      <c r="AH46" s="263"/>
      <c r="AI46" s="263"/>
      <c r="AJ46" s="263"/>
      <c r="AK46" s="188" t="str">
        <f>IF(AE46&gt;=90,"Pass","Fail")</f>
        <v>Pass</v>
      </c>
      <c r="AL46" s="188"/>
      <c r="AM46" s="188"/>
      <c r="AN46" s="188"/>
      <c r="AO46" s="75"/>
    </row>
    <row r="47" spans="1:73" ht="18" customHeight="1" x14ac:dyDescent="0.2">
      <c r="A47" s="75"/>
      <c r="B47" s="315" t="s">
        <v>1199</v>
      </c>
      <c r="C47" s="315"/>
      <c r="D47" s="315"/>
      <c r="E47" s="315"/>
      <c r="F47" s="315"/>
      <c r="G47" s="262" t="s">
        <v>1311</v>
      </c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315" t="s">
        <v>1208</v>
      </c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263">
        <v>49</v>
      </c>
      <c r="AF47" s="263"/>
      <c r="AG47" s="263"/>
      <c r="AH47" s="263"/>
      <c r="AI47" s="263"/>
      <c r="AJ47" s="263"/>
      <c r="AK47" s="188" t="str">
        <f>IF(AE47&lt;=450,"Pass","Fail")</f>
        <v>Pass</v>
      </c>
      <c r="AL47" s="188"/>
      <c r="AM47" s="188"/>
      <c r="AN47" s="188"/>
      <c r="AO47" s="75"/>
    </row>
    <row r="48" spans="1:73" ht="18" customHeight="1" x14ac:dyDescent="0.2">
      <c r="A48" s="75"/>
      <c r="B48" s="315"/>
      <c r="C48" s="315"/>
      <c r="D48" s="315"/>
      <c r="E48" s="315"/>
      <c r="F48" s="315"/>
      <c r="G48" s="262" t="s">
        <v>1312</v>
      </c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315" t="s">
        <v>1209</v>
      </c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263">
        <v>269.8</v>
      </c>
      <c r="AF48" s="263"/>
      <c r="AG48" s="263"/>
      <c r="AH48" s="263"/>
      <c r="AI48" s="263"/>
      <c r="AJ48" s="263"/>
      <c r="AK48" s="188" t="str">
        <f>IF(AE48&lt;=650,"Pass","Fail")</f>
        <v>Pass</v>
      </c>
      <c r="AL48" s="188"/>
      <c r="AM48" s="188"/>
      <c r="AN48" s="188"/>
      <c r="AO48" s="75"/>
      <c r="AS48" s="51" t="s">
        <v>1576</v>
      </c>
    </row>
    <row r="49" spans="1:41" ht="18" customHeight="1" x14ac:dyDescent="0.2">
      <c r="A49" s="75"/>
      <c r="B49" s="315" t="s">
        <v>1577</v>
      </c>
      <c r="C49" s="315"/>
      <c r="D49" s="315"/>
      <c r="E49" s="315"/>
      <c r="F49" s="315"/>
      <c r="G49" s="262" t="s">
        <v>1581</v>
      </c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315" t="s">
        <v>1579</v>
      </c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263">
        <v>52.1</v>
      </c>
      <c r="AF49" s="263"/>
      <c r="AG49" s="263"/>
      <c r="AH49" s="263"/>
      <c r="AI49" s="263"/>
      <c r="AJ49" s="263"/>
      <c r="AK49" s="188" t="str">
        <f>IF(AE49&lt;=538,"Pass","Fail")</f>
        <v>Pass</v>
      </c>
      <c r="AL49" s="188"/>
      <c r="AM49" s="188"/>
      <c r="AN49" s="188"/>
      <c r="AO49" s="75"/>
    </row>
    <row r="50" spans="1:41" ht="18" customHeight="1" x14ac:dyDescent="0.2">
      <c r="A50" s="75"/>
      <c r="B50" s="315" t="s">
        <v>1578</v>
      </c>
      <c r="C50" s="315"/>
      <c r="D50" s="315"/>
      <c r="E50" s="315"/>
      <c r="F50" s="315"/>
      <c r="G50" s="262" t="s">
        <v>1580</v>
      </c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315" t="s">
        <v>1582</v>
      </c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265">
        <v>2.9</v>
      </c>
      <c r="AF50" s="265"/>
      <c r="AG50" s="265"/>
      <c r="AH50" s="265"/>
      <c r="AI50" s="265"/>
      <c r="AJ50" s="265"/>
      <c r="AK50" s="188" t="str">
        <f>IF(AE50&lt;=5,"Pass","Fail")</f>
        <v>Pass</v>
      </c>
      <c r="AL50" s="188"/>
      <c r="AM50" s="188"/>
      <c r="AN50" s="188"/>
      <c r="AO50" s="75"/>
    </row>
    <row r="51" spans="1:41" ht="18" customHeight="1" x14ac:dyDescent="0.2">
      <c r="A51" s="75"/>
      <c r="B51" s="315"/>
      <c r="C51" s="315"/>
      <c r="D51" s="315"/>
      <c r="E51" s="315"/>
      <c r="F51" s="315"/>
      <c r="G51" s="262" t="s">
        <v>1583</v>
      </c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315" t="s">
        <v>1587</v>
      </c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266">
        <v>1.0229999999999999</v>
      </c>
      <c r="AF51" s="266"/>
      <c r="AG51" s="266"/>
      <c r="AH51" s="266"/>
      <c r="AI51" s="266"/>
      <c r="AJ51" s="266"/>
      <c r="AK51" s="188" t="str">
        <f>IF(AE51&lt;=2.1,"Pass","Fail")</f>
        <v>Pass</v>
      </c>
      <c r="AL51" s="188"/>
      <c r="AM51" s="188"/>
      <c r="AN51" s="188"/>
      <c r="AO51" s="75"/>
    </row>
    <row r="52" spans="1:41" ht="18" customHeight="1" x14ac:dyDescent="0.2">
      <c r="A52" s="75"/>
      <c r="B52" s="315" t="s">
        <v>1200</v>
      </c>
      <c r="C52" s="315"/>
      <c r="D52" s="315"/>
      <c r="E52" s="315"/>
      <c r="F52" s="315"/>
      <c r="G52" s="262" t="s">
        <v>1313</v>
      </c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315" t="s">
        <v>1608</v>
      </c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224">
        <v>0.88</v>
      </c>
      <c r="AF52" s="224"/>
      <c r="AG52" s="224"/>
      <c r="AH52" s="224"/>
      <c r="AI52" s="224"/>
      <c r="AJ52" s="224"/>
      <c r="AK52" s="188" t="str">
        <f>IF(AE52&lt;=2,"Pass","Fail")</f>
        <v>Pass</v>
      </c>
      <c r="AL52" s="188"/>
      <c r="AM52" s="188"/>
      <c r="AN52" s="188"/>
      <c r="AO52" s="75"/>
    </row>
    <row r="53" spans="1:41" ht="18" customHeight="1" x14ac:dyDescent="0.2">
      <c r="A53" s="75"/>
      <c r="B53" s="315" t="s">
        <v>1196</v>
      </c>
      <c r="C53" s="315"/>
      <c r="D53" s="315"/>
      <c r="E53" s="315"/>
      <c r="F53" s="315"/>
      <c r="G53" s="262" t="s">
        <v>1314</v>
      </c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315" t="s">
        <v>1201</v>
      </c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224">
        <v>185</v>
      </c>
      <c r="AF53" s="224"/>
      <c r="AG53" s="224"/>
      <c r="AH53" s="224"/>
      <c r="AI53" s="224"/>
      <c r="AJ53" s="224"/>
      <c r="AK53" s="188" t="str">
        <f>IF(AE53&gt;=120,"Pass","Fail")</f>
        <v>Pass</v>
      </c>
      <c r="AL53" s="188"/>
      <c r="AM53" s="188"/>
      <c r="AN53" s="188"/>
      <c r="AO53" s="75"/>
    </row>
    <row r="54" spans="1:41" ht="18" customHeight="1" x14ac:dyDescent="0.2">
      <c r="A54" s="75"/>
      <c r="B54" s="315"/>
      <c r="C54" s="315"/>
      <c r="D54" s="315"/>
      <c r="E54" s="315"/>
      <c r="F54" s="315"/>
      <c r="G54" s="262" t="s">
        <v>1315</v>
      </c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315" t="s">
        <v>1593</v>
      </c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224">
        <v>65</v>
      </c>
      <c r="AF54" s="224"/>
      <c r="AG54" s="224"/>
      <c r="AH54" s="224"/>
      <c r="AI54" s="224"/>
      <c r="AJ54" s="224"/>
      <c r="AK54" s="188" t="str">
        <f>IF(AE54&gt;=60,"Pass","Fail")</f>
        <v>Pass</v>
      </c>
      <c r="AL54" s="188"/>
      <c r="AM54" s="188"/>
      <c r="AN54" s="188"/>
      <c r="AO54" s="75"/>
    </row>
    <row r="55" spans="1:41" ht="18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75"/>
    </row>
    <row r="56" spans="1:41" ht="18" customHeight="1" x14ac:dyDescent="0.2">
      <c r="A56" s="75"/>
      <c r="B56" s="138" t="s">
        <v>1584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75"/>
    </row>
    <row r="57" spans="1:41" ht="6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75"/>
    </row>
    <row r="58" spans="1:41" ht="18" customHeight="1" x14ac:dyDescent="0.2">
      <c r="A58" s="75"/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1"/>
      <c r="AO58" s="75"/>
    </row>
    <row r="59" spans="1:41" ht="18" customHeight="1" x14ac:dyDescent="0.2">
      <c r="A59" s="75"/>
      <c r="B59" s="92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258" t="s">
        <v>1606</v>
      </c>
      <c r="U59" s="258"/>
      <c r="V59" s="258"/>
      <c r="W59" s="258"/>
      <c r="X59" s="258"/>
      <c r="Y59" s="258"/>
      <c r="Z59" s="259">
        <f>IF($H$24="","",IF($H$24="421-A",7,6.5))</f>
        <v>7</v>
      </c>
      <c r="AA59" s="260"/>
      <c r="AB59" s="261"/>
      <c r="AC59" s="140" t="s">
        <v>1532</v>
      </c>
      <c r="AD59" s="258" t="s">
        <v>1607</v>
      </c>
      <c r="AE59" s="258"/>
      <c r="AF59" s="258"/>
      <c r="AG59" s="258"/>
      <c r="AH59" s="258"/>
      <c r="AI59" s="258"/>
      <c r="AJ59" s="259">
        <f>IF($H$24="","",IF($H$24="421-A",8.5,8))</f>
        <v>8.5</v>
      </c>
      <c r="AK59" s="260"/>
      <c r="AL59" s="261"/>
      <c r="AM59" s="140" t="s">
        <v>1532</v>
      </c>
      <c r="AN59" s="93"/>
      <c r="AO59" s="75"/>
    </row>
    <row r="60" spans="1:41" ht="6" customHeight="1" x14ac:dyDescent="0.2">
      <c r="A60" s="75"/>
      <c r="B60" s="92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93"/>
      <c r="AO60" s="75"/>
    </row>
    <row r="61" spans="1:41" ht="18" customHeight="1" x14ac:dyDescent="0.2">
      <c r="A61" s="75"/>
      <c r="B61" s="92"/>
      <c r="C61" s="268" t="s">
        <v>1207</v>
      </c>
      <c r="D61" s="269"/>
      <c r="E61" s="269"/>
      <c r="F61" s="270"/>
      <c r="G61" s="264" t="s">
        <v>1194</v>
      </c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 t="s">
        <v>1205</v>
      </c>
      <c r="U61" s="264"/>
      <c r="V61" s="264"/>
      <c r="W61" s="264"/>
      <c r="X61" s="264"/>
      <c r="Y61" s="264"/>
      <c r="Z61" s="264" t="s">
        <v>1206</v>
      </c>
      <c r="AA61" s="264"/>
      <c r="AB61" s="264"/>
      <c r="AC61" s="264"/>
      <c r="AD61" s="264" t="s">
        <v>1205</v>
      </c>
      <c r="AE61" s="264"/>
      <c r="AF61" s="264"/>
      <c r="AG61" s="264"/>
      <c r="AH61" s="264"/>
      <c r="AI61" s="264"/>
      <c r="AJ61" s="264" t="s">
        <v>1206</v>
      </c>
      <c r="AK61" s="264"/>
      <c r="AL61" s="264"/>
      <c r="AM61" s="264"/>
      <c r="AN61" s="93"/>
      <c r="AO61" s="75"/>
    </row>
    <row r="62" spans="1:41" ht="18" customHeight="1" x14ac:dyDescent="0.2">
      <c r="A62" s="75"/>
      <c r="B62" s="92"/>
      <c r="C62" s="271" t="s">
        <v>1197</v>
      </c>
      <c r="D62" s="272"/>
      <c r="E62" s="272"/>
      <c r="F62" s="273"/>
      <c r="G62" s="262" t="s">
        <v>1308</v>
      </c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53">
        <v>15</v>
      </c>
      <c r="U62" s="254"/>
      <c r="V62" s="254"/>
      <c r="W62" s="267" t="s">
        <v>1316</v>
      </c>
      <c r="X62" s="267"/>
      <c r="Y62" s="267"/>
      <c r="Z62" s="188" t="str">
        <f>IF(T62&gt;=12,"Pass","Fail")</f>
        <v>Pass</v>
      </c>
      <c r="AA62" s="188"/>
      <c r="AB62" s="188"/>
      <c r="AC62" s="188"/>
      <c r="AD62" s="253">
        <v>13</v>
      </c>
      <c r="AE62" s="254"/>
      <c r="AF62" s="254"/>
      <c r="AG62" s="267" t="s">
        <v>1316</v>
      </c>
      <c r="AH62" s="267"/>
      <c r="AI62" s="267"/>
      <c r="AJ62" s="188" t="str">
        <f>IF(AD62&gt;=12,"Pass","Fail")</f>
        <v>Pass</v>
      </c>
      <c r="AK62" s="188"/>
      <c r="AL62" s="188"/>
      <c r="AM62" s="188"/>
      <c r="AN62" s="93"/>
      <c r="AO62" s="75"/>
    </row>
    <row r="63" spans="1:41" ht="18" customHeight="1" x14ac:dyDescent="0.2">
      <c r="A63" s="75"/>
      <c r="B63" s="92"/>
      <c r="C63" s="274"/>
      <c r="D63" s="275"/>
      <c r="E63" s="275"/>
      <c r="F63" s="276"/>
      <c r="G63" s="262" t="s">
        <v>1309</v>
      </c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53">
        <v>20</v>
      </c>
      <c r="U63" s="254"/>
      <c r="V63" s="254"/>
      <c r="W63" s="267" t="s">
        <v>1305</v>
      </c>
      <c r="X63" s="267"/>
      <c r="Y63" s="267"/>
      <c r="Z63" s="188" t="str">
        <f>IF(OR(T63&gt;=20,W63="Near Spin"),"Pass","Fail")</f>
        <v>Pass</v>
      </c>
      <c r="AA63" s="188"/>
      <c r="AB63" s="188"/>
      <c r="AC63" s="188"/>
      <c r="AD63" s="253">
        <v>18</v>
      </c>
      <c r="AE63" s="254"/>
      <c r="AF63" s="254"/>
      <c r="AG63" s="267" t="s">
        <v>1305</v>
      </c>
      <c r="AH63" s="267"/>
      <c r="AI63" s="267"/>
      <c r="AJ63" s="188" t="str">
        <f>IF(OR(AD63&gt;=20,AG63="Near Spin"),"Pass","Fail")</f>
        <v>Pass</v>
      </c>
      <c r="AK63" s="188"/>
      <c r="AL63" s="188"/>
      <c r="AM63" s="188"/>
      <c r="AN63" s="93"/>
      <c r="AO63" s="75"/>
    </row>
    <row r="64" spans="1:41" ht="18" customHeight="1" x14ac:dyDescent="0.2">
      <c r="A64" s="75"/>
      <c r="B64" s="92"/>
      <c r="C64" s="277" t="s">
        <v>1198</v>
      </c>
      <c r="D64" s="278"/>
      <c r="E64" s="278"/>
      <c r="F64" s="279"/>
      <c r="G64" s="262" t="s">
        <v>1310</v>
      </c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3">
        <v>90</v>
      </c>
      <c r="U64" s="263"/>
      <c r="V64" s="263"/>
      <c r="W64" s="263"/>
      <c r="X64" s="263"/>
      <c r="Y64" s="263"/>
      <c r="Z64" s="188" t="str">
        <f>IF(T64&gt;=90,"Pass","Fail")</f>
        <v>Pass</v>
      </c>
      <c r="AA64" s="188"/>
      <c r="AB64" s="188"/>
      <c r="AC64" s="188"/>
      <c r="AD64" s="263">
        <v>95</v>
      </c>
      <c r="AE64" s="263"/>
      <c r="AF64" s="263"/>
      <c r="AG64" s="263"/>
      <c r="AH64" s="263"/>
      <c r="AI64" s="263"/>
      <c r="AJ64" s="188" t="str">
        <f>IF(AD64&gt;=90,"Pass","Fail")</f>
        <v>Pass</v>
      </c>
      <c r="AK64" s="188"/>
      <c r="AL64" s="188"/>
      <c r="AM64" s="188"/>
      <c r="AN64" s="93"/>
      <c r="AO64" s="75"/>
    </row>
    <row r="65" spans="1:41" ht="18" customHeight="1" x14ac:dyDescent="0.2">
      <c r="A65" s="75"/>
      <c r="B65" s="92"/>
      <c r="C65" s="271" t="s">
        <v>1199</v>
      </c>
      <c r="D65" s="272"/>
      <c r="E65" s="272"/>
      <c r="F65" s="273"/>
      <c r="G65" s="262" t="s">
        <v>1311</v>
      </c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3">
        <v>65.8</v>
      </c>
      <c r="U65" s="263"/>
      <c r="V65" s="263"/>
      <c r="W65" s="263"/>
      <c r="X65" s="263"/>
      <c r="Y65" s="263"/>
      <c r="Z65" s="188" t="str">
        <f>IF(T65&lt;=450,"Pass","Fail")</f>
        <v>Pass</v>
      </c>
      <c r="AA65" s="188"/>
      <c r="AB65" s="188"/>
      <c r="AC65" s="188"/>
      <c r="AD65" s="263">
        <v>134.9</v>
      </c>
      <c r="AE65" s="263"/>
      <c r="AF65" s="263"/>
      <c r="AG65" s="263"/>
      <c r="AH65" s="263"/>
      <c r="AI65" s="263"/>
      <c r="AJ65" s="188" t="str">
        <f>IF(AD65&lt;=450,"Pass","Fail")</f>
        <v>Pass</v>
      </c>
      <c r="AK65" s="188"/>
      <c r="AL65" s="188"/>
      <c r="AM65" s="188"/>
      <c r="AN65" s="93"/>
      <c r="AO65" s="75"/>
    </row>
    <row r="66" spans="1:41" ht="18" customHeight="1" x14ac:dyDescent="0.2">
      <c r="A66" s="75"/>
      <c r="B66" s="92"/>
      <c r="C66" s="274"/>
      <c r="D66" s="275"/>
      <c r="E66" s="275"/>
      <c r="F66" s="276"/>
      <c r="G66" s="262" t="s">
        <v>1312</v>
      </c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3">
        <v>565.9</v>
      </c>
      <c r="U66" s="263"/>
      <c r="V66" s="263"/>
      <c r="W66" s="263"/>
      <c r="X66" s="263"/>
      <c r="Y66" s="263"/>
      <c r="Z66" s="188" t="str">
        <f>IF(T66&lt;=650,"Pass","Fail")</f>
        <v>Pass</v>
      </c>
      <c r="AA66" s="188"/>
      <c r="AB66" s="188"/>
      <c r="AC66" s="188"/>
      <c r="AD66" s="263">
        <v>187.5</v>
      </c>
      <c r="AE66" s="263"/>
      <c r="AF66" s="263"/>
      <c r="AG66" s="263"/>
      <c r="AH66" s="263"/>
      <c r="AI66" s="263"/>
      <c r="AJ66" s="188" t="str">
        <f>IF(AD66&lt;=650,"Pass","Fail")</f>
        <v>Pass</v>
      </c>
      <c r="AK66" s="188"/>
      <c r="AL66" s="188"/>
      <c r="AM66" s="188"/>
      <c r="AN66" s="93"/>
      <c r="AO66" s="75"/>
    </row>
    <row r="67" spans="1:41" ht="18" customHeight="1" x14ac:dyDescent="0.2">
      <c r="A67" s="75"/>
      <c r="B67" s="92"/>
      <c r="C67" s="277" t="s">
        <v>1577</v>
      </c>
      <c r="D67" s="278"/>
      <c r="E67" s="278"/>
      <c r="F67" s="279"/>
      <c r="G67" s="262" t="s">
        <v>1581</v>
      </c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3">
        <v>71</v>
      </c>
      <c r="U67" s="263"/>
      <c r="V67" s="263"/>
      <c r="W67" s="263"/>
      <c r="X67" s="263"/>
      <c r="Y67" s="263"/>
      <c r="Z67" s="188" t="str">
        <f>IF(T67&lt;=538,"Pass","Fail")</f>
        <v>Pass</v>
      </c>
      <c r="AA67" s="188"/>
      <c r="AB67" s="188"/>
      <c r="AC67" s="188"/>
      <c r="AD67" s="263">
        <v>97.8</v>
      </c>
      <c r="AE67" s="263"/>
      <c r="AF67" s="263"/>
      <c r="AG67" s="263"/>
      <c r="AH67" s="263"/>
      <c r="AI67" s="263"/>
      <c r="AJ67" s="188" t="str">
        <f>IF(AD67&lt;=538,"Pass","Fail")</f>
        <v>Pass</v>
      </c>
      <c r="AK67" s="188"/>
      <c r="AL67" s="188"/>
      <c r="AM67" s="188"/>
      <c r="AN67" s="93"/>
      <c r="AO67" s="75"/>
    </row>
    <row r="68" spans="1:41" ht="18" customHeight="1" x14ac:dyDescent="0.2">
      <c r="A68" s="75"/>
      <c r="B68" s="92"/>
      <c r="C68" s="271" t="s">
        <v>1578</v>
      </c>
      <c r="D68" s="272"/>
      <c r="E68" s="272"/>
      <c r="F68" s="273"/>
      <c r="G68" s="262" t="s">
        <v>1580</v>
      </c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5">
        <v>3.6</v>
      </c>
      <c r="U68" s="265"/>
      <c r="V68" s="265"/>
      <c r="W68" s="265"/>
      <c r="X68" s="265"/>
      <c r="Y68" s="265"/>
      <c r="Z68" s="188" t="str">
        <f>IF(T68&lt;=5,"Pass","Fail")</f>
        <v>Pass</v>
      </c>
      <c r="AA68" s="188"/>
      <c r="AB68" s="188"/>
      <c r="AC68" s="188"/>
      <c r="AD68" s="265">
        <v>5.3</v>
      </c>
      <c r="AE68" s="265"/>
      <c r="AF68" s="265"/>
      <c r="AG68" s="265"/>
      <c r="AH68" s="265"/>
      <c r="AI68" s="265"/>
      <c r="AJ68" s="188" t="str">
        <f>IF(AD68&lt;=5,"Pass","Fail")</f>
        <v>Fail</v>
      </c>
      <c r="AK68" s="188"/>
      <c r="AL68" s="188"/>
      <c r="AM68" s="188"/>
      <c r="AN68" s="93"/>
      <c r="AO68" s="75"/>
    </row>
    <row r="69" spans="1:41" ht="18" customHeight="1" x14ac:dyDescent="0.2">
      <c r="A69" s="75"/>
      <c r="B69" s="92"/>
      <c r="C69" s="274"/>
      <c r="D69" s="275"/>
      <c r="E69" s="275"/>
      <c r="F69" s="276"/>
      <c r="G69" s="262" t="s">
        <v>1583</v>
      </c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6">
        <v>1.0289999999999999</v>
      </c>
      <c r="U69" s="266"/>
      <c r="V69" s="266"/>
      <c r="W69" s="266"/>
      <c r="X69" s="266"/>
      <c r="Y69" s="266"/>
      <c r="Z69" s="188" t="str">
        <f>IF(T69&lt;=2.1,"Pass","Fail")</f>
        <v>Pass</v>
      </c>
      <c r="AA69" s="188"/>
      <c r="AB69" s="188"/>
      <c r="AC69" s="188"/>
      <c r="AD69" s="266">
        <v>1.0189999999999999</v>
      </c>
      <c r="AE69" s="266"/>
      <c r="AF69" s="266"/>
      <c r="AG69" s="266"/>
      <c r="AH69" s="266"/>
      <c r="AI69" s="266"/>
      <c r="AJ69" s="188" t="str">
        <f>IF(AD69&lt;=2.1,"Pass","Fail")</f>
        <v>Pass</v>
      </c>
      <c r="AK69" s="188"/>
      <c r="AL69" s="188"/>
      <c r="AM69" s="188"/>
      <c r="AN69" s="93"/>
      <c r="AO69" s="75"/>
    </row>
    <row r="70" spans="1:41" ht="18" customHeight="1" x14ac:dyDescent="0.2">
      <c r="A70" s="75"/>
      <c r="B70" s="92"/>
      <c r="C70" s="277" t="s">
        <v>1200</v>
      </c>
      <c r="D70" s="278"/>
      <c r="E70" s="278"/>
      <c r="F70" s="279"/>
      <c r="G70" s="262" t="s">
        <v>1313</v>
      </c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24">
        <v>0.90700000000000003</v>
      </c>
      <c r="U70" s="224"/>
      <c r="V70" s="224"/>
      <c r="W70" s="224"/>
      <c r="X70" s="224"/>
      <c r="Y70" s="224"/>
      <c r="Z70" s="188" t="str">
        <f>IF(T70&lt;=2,"Pass","Fail")</f>
        <v>Pass</v>
      </c>
      <c r="AA70" s="188"/>
      <c r="AB70" s="188"/>
      <c r="AC70" s="188"/>
      <c r="AD70" s="224">
        <v>0.85099999999999998</v>
      </c>
      <c r="AE70" s="224"/>
      <c r="AF70" s="224"/>
      <c r="AG70" s="224"/>
      <c r="AH70" s="224"/>
      <c r="AI70" s="224"/>
      <c r="AJ70" s="188" t="str">
        <f>IF(AD70&lt;=2,"Pass","Fail")</f>
        <v>Pass</v>
      </c>
      <c r="AK70" s="188"/>
      <c r="AL70" s="188"/>
      <c r="AM70" s="188"/>
      <c r="AN70" s="93"/>
      <c r="AO70" s="75"/>
    </row>
    <row r="71" spans="1:41" ht="18" customHeight="1" x14ac:dyDescent="0.2">
      <c r="A71" s="75"/>
      <c r="B71" s="92"/>
      <c r="C71" s="271" t="s">
        <v>1196</v>
      </c>
      <c r="D71" s="272"/>
      <c r="E71" s="272"/>
      <c r="F71" s="273"/>
      <c r="G71" s="262" t="s">
        <v>1314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24">
        <v>129</v>
      </c>
      <c r="U71" s="224"/>
      <c r="V71" s="224"/>
      <c r="W71" s="224"/>
      <c r="X71" s="224"/>
      <c r="Y71" s="224"/>
      <c r="Z71" s="188" t="str">
        <f>IF(T71&gt;=120,"Pass","Fail")</f>
        <v>Pass</v>
      </c>
      <c r="AA71" s="188"/>
      <c r="AB71" s="188"/>
      <c r="AC71" s="188"/>
      <c r="AD71" s="224">
        <v>204</v>
      </c>
      <c r="AE71" s="224"/>
      <c r="AF71" s="224"/>
      <c r="AG71" s="224"/>
      <c r="AH71" s="224"/>
      <c r="AI71" s="224"/>
      <c r="AJ71" s="188" t="str">
        <f>IF(AD71&gt;=120,"Pass","Fail")</f>
        <v>Pass</v>
      </c>
      <c r="AK71" s="188"/>
      <c r="AL71" s="188"/>
      <c r="AM71" s="188"/>
      <c r="AN71" s="93"/>
      <c r="AO71" s="75"/>
    </row>
    <row r="72" spans="1:41" ht="18" customHeight="1" x14ac:dyDescent="0.2">
      <c r="A72" s="75"/>
      <c r="B72" s="92"/>
      <c r="C72" s="274"/>
      <c r="D72" s="275"/>
      <c r="E72" s="275"/>
      <c r="F72" s="276"/>
      <c r="G72" s="262" t="s">
        <v>1315</v>
      </c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24">
        <v>54</v>
      </c>
      <c r="U72" s="224"/>
      <c r="V72" s="224"/>
      <c r="W72" s="224"/>
      <c r="X72" s="224"/>
      <c r="Y72" s="224"/>
      <c r="Z72" s="188" t="str">
        <f>IF(T72&gt;=60,"Pass","Fail")</f>
        <v>Fail</v>
      </c>
      <c r="AA72" s="188"/>
      <c r="AB72" s="188"/>
      <c r="AC72" s="188"/>
      <c r="AD72" s="224">
        <v>68</v>
      </c>
      <c r="AE72" s="224"/>
      <c r="AF72" s="224"/>
      <c r="AG72" s="224"/>
      <c r="AH72" s="224"/>
      <c r="AI72" s="224"/>
      <c r="AJ72" s="188" t="str">
        <f>IF(AD72&gt;=60,"Pass","Fail")</f>
        <v>Pass</v>
      </c>
      <c r="AK72" s="188"/>
      <c r="AL72" s="188"/>
      <c r="AM72" s="188"/>
      <c r="AN72" s="93"/>
      <c r="AO72" s="75"/>
    </row>
    <row r="73" spans="1:41" ht="18" customHeight="1" x14ac:dyDescent="0.2">
      <c r="A73" s="75"/>
      <c r="B73" s="96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7"/>
      <c r="AO73" s="75"/>
    </row>
    <row r="74" spans="1:41" ht="18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50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</row>
    <row r="75" spans="1:41" ht="18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50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56" t="e">
        <f>'TRANS. COV.'!AO68</f>
        <v>#REF!</v>
      </c>
    </row>
    <row r="77" spans="1:41" ht="14.1" customHeight="1" x14ac:dyDescent="0.2">
      <c r="A77" s="70" t="s">
        <v>1551</v>
      </c>
      <c r="B77" s="120"/>
    </row>
    <row r="78" spans="1:41" ht="14.1" customHeight="1" x14ac:dyDescent="0.2">
      <c r="A78" s="121"/>
      <c r="B78" s="122"/>
      <c r="C78" s="123"/>
      <c r="D78" s="134"/>
      <c r="E78" s="134"/>
      <c r="F78" s="134"/>
      <c r="G78" s="134"/>
      <c r="H78" s="134"/>
      <c r="I78" s="134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4"/>
    </row>
    <row r="79" spans="1:41" ht="14.1" customHeight="1" x14ac:dyDescent="0.2">
      <c r="A79" s="125"/>
      <c r="B79" s="126" t="str">
        <f>IF(COUNTIF(B84:B109,"*"&amp;"Error"&amp;"*")&gt;0,"Error(s) found! Please see below for details.","None")</f>
        <v>None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127"/>
    </row>
    <row r="80" spans="1:41" ht="14.1" customHeight="1" x14ac:dyDescent="0.2">
      <c r="A80" s="128"/>
      <c r="B80" s="129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1"/>
    </row>
    <row r="81" spans="1:41" ht="14.1" customHeight="1" x14ac:dyDescent="0.2">
      <c r="B81" s="120"/>
    </row>
    <row r="82" spans="1:41" ht="14.1" customHeight="1" x14ac:dyDescent="0.2">
      <c r="A82" s="70" t="s">
        <v>1552</v>
      </c>
      <c r="B82" s="120"/>
    </row>
    <row r="83" spans="1:41" ht="14.1" customHeight="1" x14ac:dyDescent="0.2">
      <c r="A83" s="121"/>
      <c r="B83" s="122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4"/>
    </row>
    <row r="84" spans="1:41" ht="14.1" customHeight="1" x14ac:dyDescent="0.2">
      <c r="A84" s="132" t="s">
        <v>158</v>
      </c>
      <c r="B84" s="72" t="str">
        <f>IF(COUNTIF(H18,"")&gt;0,"Error! Missing information for proposal line number(s).",IF(COUNTIF(H18:Q20,"*")&gt;0,"Error! Incorrect format for proposal line number(s).",IF(COUNTIF(H18:Q20,"&gt;9999")&gt;0,"Error! proposal line number(s) cannot exceed 9999.","")))</f>
        <v/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127"/>
    </row>
    <row r="85" spans="1:41" ht="14.1" customHeight="1" x14ac:dyDescent="0.2">
      <c r="A85" s="132" t="s">
        <v>158</v>
      </c>
      <c r="B85" s="72" t="str">
        <f>IF(COUNTIF(AC15,"")&gt;0,"Error! Missing information for spec. year.","")</f>
        <v/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127"/>
    </row>
    <row r="86" spans="1:41" ht="14.1" customHeight="1" x14ac:dyDescent="0.2">
      <c r="A86" s="132" t="s">
        <v>158</v>
      </c>
      <c r="B86" s="72" t="str">
        <f>IF(COUNTIF(AC16,"")&gt;0,"Error! Missing information for SS-800 date.","")</f>
        <v/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127"/>
    </row>
    <row r="87" spans="1:41" ht="14.1" customHeight="1" x14ac:dyDescent="0.2">
      <c r="A87" s="132" t="s">
        <v>158</v>
      </c>
      <c r="B87" s="72" t="str">
        <f>IF(COUNTIF(H24,"")&gt;0,"Error! Missing information for mix type.","")</f>
        <v/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127"/>
    </row>
    <row r="88" spans="1:41" ht="14.1" customHeight="1" x14ac:dyDescent="0.2">
      <c r="A88" s="132" t="s">
        <v>158</v>
      </c>
      <c r="B88" s="72" t="str">
        <f>IF(COUNTIF(L30,"")&gt;0,"Error! Missing information for % Mineral Filler (Target).",IF(COUNTIF(L30,"*")&gt;0,"Error! Incorrect format for % Mineral Filler (Target).",""))</f>
        <v/>
      </c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127"/>
    </row>
    <row r="89" spans="1:41" ht="14.1" customHeight="1" x14ac:dyDescent="0.2">
      <c r="A89" s="132" t="s">
        <v>158</v>
      </c>
      <c r="B89" s="72" t="str">
        <f>IF(COUNTIF(R30,"")&gt;0,"Error! Missing information for % Mineral Filler (Tolerance).",IF(COUNTIF(R30,"*")&gt;0,"Error! Incorrect format for % Mineral Filler (Tolerance).",""))</f>
        <v/>
      </c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127"/>
    </row>
    <row r="90" spans="1:41" ht="14.1" customHeight="1" x14ac:dyDescent="0.2">
      <c r="A90" s="132" t="s">
        <v>158</v>
      </c>
      <c r="B90" s="72" t="str">
        <f>IF(COUNTIF(L31,"")&gt;0,"Error! Missing information for % Water (Target).",IF(COUNTIF(L31,"*")&gt;0,"Error! Incorrect format for % Water (Target).",""))</f>
        <v/>
      </c>
      <c r="D90" s="72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127"/>
    </row>
    <row r="91" spans="1:41" ht="14.1" customHeight="1" x14ac:dyDescent="0.2">
      <c r="A91" s="132" t="s">
        <v>158</v>
      </c>
      <c r="B91" s="72" t="str">
        <f>IF(COUNTIF(R31,"")&gt;0,"Error! Missing information for % Water (Tolerance).",IF(COUNTIF(R31,"*")&gt;0,"Error! Incorrect format for % Water (Tolerance).",""))</f>
        <v/>
      </c>
      <c r="C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127"/>
    </row>
    <row r="92" spans="1:41" ht="14.1" customHeight="1" x14ac:dyDescent="0.2">
      <c r="A92" s="132" t="s">
        <v>158</v>
      </c>
      <c r="B92" s="72" t="str">
        <f>IF(COUNTIF(L32,"")&gt;0,"Error! Missing information for Water pH (Target).",IF(COUNTIF(L32,"*")&gt;0,"Error! Incorrect format for Water pH (Target).",""))</f>
        <v/>
      </c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127"/>
    </row>
    <row r="93" spans="1:41" ht="14.1" customHeight="1" x14ac:dyDescent="0.2">
      <c r="A93" s="132" t="s">
        <v>158</v>
      </c>
      <c r="B93" s="72" t="str">
        <f>IF(COUNTIF(L32,"")&gt;0,"Error! Missing information for Water pH (Tolerance).",IF(COUNTIF(L32,"*")&gt;0,"Error! Incorrect format for Water pH (Tolerance).",""))</f>
        <v/>
      </c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127"/>
    </row>
    <row r="94" spans="1:41" ht="14.1" customHeight="1" x14ac:dyDescent="0.2">
      <c r="A94" s="132" t="s">
        <v>158</v>
      </c>
      <c r="B94" s="72" t="str">
        <f>IF(COUNTIF(L33,"")&gt;0,"Error! Missing information for % Mix Set Additive (Target).",IF(COUNTIF(L33,"*")&gt;0,"Error! Incorrect format for % Mix Set Additive (Target).",""))</f>
        <v/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127"/>
    </row>
    <row r="95" spans="1:41" ht="14.1" customHeight="1" x14ac:dyDescent="0.2">
      <c r="A95" s="132" t="s">
        <v>158</v>
      </c>
      <c r="B95" s="72" t="str">
        <f>IF(COUNTIF(L33,"")&gt;0,"Error! Missing information for % Mix Set Additive (Tolerance).",IF(COUNTIF(L33,"*")&gt;0,"Error! Incorrect format for % Mix Set Additive (Tolerance).",""))</f>
        <v/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127"/>
    </row>
    <row r="96" spans="1:41" ht="14.1" customHeight="1" x14ac:dyDescent="0.2">
      <c r="A96" s="132" t="s">
        <v>158</v>
      </c>
      <c r="B96" s="72" t="str">
        <f>IF(COUNTIF(L36,"")&gt;0,"Error! Missing information for % Residual Asphalt (Target).",IF(COUNTIF(L36,"*")&gt;0,"Error! Incorrect format for % Residual Asphalt (Target).",""))</f>
        <v/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127"/>
    </row>
    <row r="97" spans="1:41" ht="14.1" customHeight="1" x14ac:dyDescent="0.2">
      <c r="A97" s="132" t="s">
        <v>158</v>
      </c>
      <c r="B97" s="72" t="str">
        <f>IF(COUNTIF(AE41,"")&gt;0,"Error! Missing information for Wet Cohesion, kg-cm @ 30 minutes.",IF(COUNTIF(AE41,"*")&gt;0,"Error! Incorrect format for Wet Cohesion, kg-cm @ 30 minutes.",""))</f>
        <v/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127"/>
    </row>
    <row r="98" spans="1:41" ht="14.1" customHeight="1" x14ac:dyDescent="0.2">
      <c r="A98" s="132" t="s">
        <v>158</v>
      </c>
      <c r="B98" s="72" t="str">
        <f>IF(COUNTIF(AH41,"")&gt;0,"Error! Missing information for Wet Cohesion, kg-cm @ 30 minutes.","")</f>
        <v/>
      </c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127"/>
    </row>
    <row r="99" spans="1:41" ht="14.1" customHeight="1" x14ac:dyDescent="0.2">
      <c r="A99" s="132" t="s">
        <v>158</v>
      </c>
      <c r="B99" s="72" t="str">
        <f>IF(COUNTIF(AE42,"")&gt;0,"Error! Missing information for Wet Cohesion, kg-cm @ 60 minutes.",IF(COUNTIF(AE42,"*")&gt;0,"Error! Incorrect format for Wet Cohesion, kg-cm @ 60 minutes.",""))</f>
        <v/>
      </c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127"/>
    </row>
    <row r="100" spans="1:41" ht="14.1" customHeight="1" x14ac:dyDescent="0.2">
      <c r="A100" s="132" t="s">
        <v>158</v>
      </c>
      <c r="B100" s="72" t="str">
        <f>IF(COUNTIF(AH42,"")&gt;0,"Error! Missing information for Wet Cohesion, kg-cm @ 60 minutes.","")</f>
        <v/>
      </c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127"/>
    </row>
    <row r="101" spans="1:41" ht="14.1" customHeight="1" x14ac:dyDescent="0.2">
      <c r="A101" s="132" t="s">
        <v>158</v>
      </c>
      <c r="B101" s="72" t="str">
        <f>IF(COUNTIF(AE46,"")&gt;0,"Error! Missing information for Wet Stripping, %.",IF(COUNTIF(AE46,"*")&gt;0,"Error! Incorrect format for Wet Stripping, %.",""))</f>
        <v/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127"/>
    </row>
    <row r="102" spans="1:41" ht="14.1" customHeight="1" x14ac:dyDescent="0.2">
      <c r="A102" s="132" t="s">
        <v>158</v>
      </c>
      <c r="B102" s="72" t="str">
        <f>IF(COUNTIF(AE47,"")&gt;0,"Error! Missing information for Wet Track Abrasion Loss, 1-hour soak.",IF(COUNTIF(AE47,"*")&gt;0,"Error! Incorrect format for Wet Track Abrasion Loss, 1-hour soak.",""))</f>
        <v/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127"/>
    </row>
    <row r="103" spans="1:41" ht="14.1" customHeight="1" x14ac:dyDescent="0.2">
      <c r="A103" s="132" t="s">
        <v>158</v>
      </c>
      <c r="B103" s="72" t="str">
        <f>IF(COUNTIF(AE48,"")&gt;0,"Error! Missing information for Wet Track Abrasion Loss, 6-day soak.",IF(COUNTIF(AE48,"*")&gt;0,"Error! Incorrect format for Wet Track Abrasion Loss, 6-day soak.",""))</f>
        <v/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127"/>
    </row>
    <row r="104" spans="1:41" ht="14.1" customHeight="1" x14ac:dyDescent="0.2">
      <c r="A104" s="132" t="s">
        <v>158</v>
      </c>
      <c r="B104" s="72" t="str">
        <f>IF(COUNTIF(AE49,"")&gt;0,"Error! Missing information for Excess Binder.",IF(COUNTIF(AE49,"*")&gt;0,"Error! Incorrect format for Excess Binder.",""))</f>
        <v/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127"/>
    </row>
    <row r="105" spans="1:41" ht="14.1" customHeight="1" x14ac:dyDescent="0.2">
      <c r="A105" s="132" t="s">
        <v>158</v>
      </c>
      <c r="B105" s="72" t="str">
        <f>IF(COUNTIF(AE50,"")&gt;0,"Error! Missing information for Lateral Displacement.",IF(COUNTIF(AE50,"*")&gt;0,"Error! Incorrect format for Lateral Displacement.",""))</f>
        <v/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127"/>
    </row>
    <row r="106" spans="1:41" ht="14.1" customHeight="1" x14ac:dyDescent="0.2">
      <c r="A106" s="132" t="s">
        <v>158</v>
      </c>
      <c r="B106" s="72" t="str">
        <f>IF(COUNTIF(AE51,"")&gt;0,"Error! Missing information for Specific Gravity after 1,000 Cycles.",IF(COUNTIF(AE51,"*")&gt;0,"Error! Incorrect format for Specific Gravity after 1,000 Cycles.",""))</f>
        <v/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127"/>
    </row>
    <row r="107" spans="1:41" ht="14.1" customHeight="1" x14ac:dyDescent="0.2">
      <c r="A107" s="132" t="s">
        <v>158</v>
      </c>
      <c r="B107" s="72" t="str">
        <f>IF(COUNTIF(AE52,"")&gt;0,"Error! Missing information for Saturated Abrasion Compatibility, g.",IF(COUNTIF(AE52,"*")&gt;0,"Error! Incorrect format for Saturated Abrasion Compatibility, g.",""))</f>
        <v/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127"/>
    </row>
    <row r="108" spans="1:41" ht="14.1" customHeight="1" x14ac:dyDescent="0.2">
      <c r="A108" s="132" t="s">
        <v>158</v>
      </c>
      <c r="B108" s="72" t="str">
        <f>IF(COUNTIF(AE53,"")&gt;0,"Error! Missing information for Mixing Time @ 25°C, sec.",IF(COUNTIF(AE53,"*")&gt;0,"Error! Incorrect format for Mixing Time @ 25°C, sec.",""))</f>
        <v/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127"/>
    </row>
    <row r="109" spans="1:41" ht="14.1" customHeight="1" x14ac:dyDescent="0.2">
      <c r="A109" s="132" t="s">
        <v>158</v>
      </c>
      <c r="B109" s="72" t="str">
        <f>IF(COUNTIF(AE54,"")&gt;0,"Error! Missing information for Mixing Time @ 40°C, sec.",IF(COUNTIF(AE54,"*")&gt;0,"Error! Incorrect format for Mixing Time @ 40°C, sec.",""))</f>
        <v/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127"/>
    </row>
    <row r="110" spans="1:41" ht="14.1" customHeight="1" x14ac:dyDescent="0.2">
      <c r="A110" s="128"/>
      <c r="B110" s="129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1"/>
    </row>
    <row r="111" spans="1:41" ht="14.1" customHeight="1" x14ac:dyDescent="0.2">
      <c r="A111" s="71"/>
      <c r="B111" s="72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</row>
    <row r="115" spans="1:45" ht="14.1" customHeight="1" x14ac:dyDescent="0.2">
      <c r="B115" s="138"/>
    </row>
    <row r="117" spans="1:45" ht="18" customHeight="1" x14ac:dyDescent="0.2">
      <c r="A117" s="75"/>
      <c r="B117" s="138"/>
      <c r="AN117" s="50"/>
      <c r="AO117" s="75"/>
    </row>
    <row r="118" spans="1:45" ht="6" customHeight="1" x14ac:dyDescent="0.2">
      <c r="A118" s="75"/>
      <c r="B118" s="75"/>
      <c r="AN118" s="50"/>
      <c r="AO118" s="75"/>
    </row>
    <row r="119" spans="1:45" ht="18" customHeight="1" x14ac:dyDescent="0.2">
      <c r="A119" s="75"/>
      <c r="AO119" s="75"/>
    </row>
    <row r="120" spans="1:45" ht="18" customHeight="1" x14ac:dyDescent="0.2">
      <c r="A120" s="75"/>
      <c r="AO120" s="75"/>
    </row>
    <row r="121" spans="1:45" ht="18" customHeight="1" x14ac:dyDescent="0.2">
      <c r="A121" s="75"/>
      <c r="AO121" s="75"/>
    </row>
    <row r="122" spans="1:45" ht="18" customHeight="1" x14ac:dyDescent="0.2">
      <c r="A122" s="75"/>
      <c r="AO122" s="75"/>
    </row>
    <row r="123" spans="1:45" ht="18" customHeight="1" x14ac:dyDescent="0.2">
      <c r="A123" s="75"/>
      <c r="AO123" s="75"/>
    </row>
    <row r="124" spans="1:45" ht="18" customHeight="1" x14ac:dyDescent="0.2">
      <c r="A124" s="75"/>
      <c r="AO124" s="75"/>
      <c r="AS124" s="51" t="s">
        <v>1576</v>
      </c>
    </row>
    <row r="125" spans="1:45" ht="18" customHeight="1" x14ac:dyDescent="0.2">
      <c r="A125" s="75"/>
      <c r="AO125" s="75"/>
    </row>
    <row r="126" spans="1:45" ht="18" customHeight="1" x14ac:dyDescent="0.2">
      <c r="A126" s="75"/>
      <c r="AO126" s="75"/>
    </row>
    <row r="127" spans="1:45" ht="18" customHeight="1" x14ac:dyDescent="0.2">
      <c r="A127" s="75"/>
      <c r="AO127" s="75"/>
    </row>
    <row r="128" spans="1:45" ht="18" customHeight="1" x14ac:dyDescent="0.2">
      <c r="A128" s="75"/>
      <c r="AO128" s="75"/>
    </row>
    <row r="129" spans="1:41" ht="18" customHeight="1" x14ac:dyDescent="0.2">
      <c r="A129" s="75"/>
      <c r="AO129" s="75"/>
    </row>
    <row r="130" spans="1:41" ht="18" customHeight="1" x14ac:dyDescent="0.2">
      <c r="A130" s="75"/>
      <c r="AO130" s="75"/>
    </row>
  </sheetData>
  <sheetProtection algorithmName="SHA-512" hashValue="CvVEObn7yfjbyKKL1jSjgMm2BBd4s7TCUcYn4dv8Ro7qlGhy0P2jr5UsZjB50TVFVB+8TeUjBVz9fOGkeR7raA==" saltValue="Qh+4g9htJmGsdkxPxWHgJg==" spinCount="100000" sheet="1" objects="1" scenarios="1"/>
  <dataConsolidate/>
  <mergeCells count="211">
    <mergeCell ref="AK43:AN43"/>
    <mergeCell ref="G44:S44"/>
    <mergeCell ref="T44:AD44"/>
    <mergeCell ref="AE44:AG44"/>
    <mergeCell ref="AH44:AJ44"/>
    <mergeCell ref="AK44:AN44"/>
    <mergeCell ref="B43:F45"/>
    <mergeCell ref="G45:S45"/>
    <mergeCell ref="T45:AD45"/>
    <mergeCell ref="AE45:AJ45"/>
    <mergeCell ref="AK45:AN45"/>
    <mergeCell ref="AE46:AJ46"/>
    <mergeCell ref="AE47:AJ47"/>
    <mergeCell ref="T47:AD47"/>
    <mergeCell ref="T48:AD48"/>
    <mergeCell ref="B35:K35"/>
    <mergeCell ref="B36:K36"/>
    <mergeCell ref="B40:F40"/>
    <mergeCell ref="T40:AD40"/>
    <mergeCell ref="T41:AD41"/>
    <mergeCell ref="T42:AD42"/>
    <mergeCell ref="T46:AD46"/>
    <mergeCell ref="G40:S40"/>
    <mergeCell ref="G41:S41"/>
    <mergeCell ref="G42:S42"/>
    <mergeCell ref="G46:S46"/>
    <mergeCell ref="B41:F42"/>
    <mergeCell ref="B46:F46"/>
    <mergeCell ref="G47:S47"/>
    <mergeCell ref="G48:S48"/>
    <mergeCell ref="B47:F48"/>
    <mergeCell ref="G43:S43"/>
    <mergeCell ref="T43:AD43"/>
    <mergeCell ref="AE43:AG43"/>
    <mergeCell ref="AH43:AJ43"/>
    <mergeCell ref="G53:S53"/>
    <mergeCell ref="G54:S54"/>
    <mergeCell ref="V30:Y30"/>
    <mergeCell ref="V36:Y36"/>
    <mergeCell ref="AK52:AN52"/>
    <mergeCell ref="AK53:AN53"/>
    <mergeCell ref="AE52:AJ52"/>
    <mergeCell ref="AE53:AJ53"/>
    <mergeCell ref="T51:AD51"/>
    <mergeCell ref="AE51:AJ51"/>
    <mergeCell ref="AK51:AN51"/>
    <mergeCell ref="T52:AD52"/>
    <mergeCell ref="T53:AD53"/>
    <mergeCell ref="AE48:AJ48"/>
    <mergeCell ref="AE40:AJ40"/>
    <mergeCell ref="AK41:AN41"/>
    <mergeCell ref="AK42:AN42"/>
    <mergeCell ref="AK46:AN46"/>
    <mergeCell ref="AK47:AN47"/>
    <mergeCell ref="AK48:AN48"/>
    <mergeCell ref="AH41:AJ41"/>
    <mergeCell ref="AH42:AJ42"/>
    <mergeCell ref="AE41:AG41"/>
    <mergeCell ref="AE42:AG42"/>
    <mergeCell ref="B52:F52"/>
    <mergeCell ref="B53:F54"/>
    <mergeCell ref="AK40:AN40"/>
    <mergeCell ref="AK54:AN54"/>
    <mergeCell ref="AE54:AJ54"/>
    <mergeCell ref="P30:Q30"/>
    <mergeCell ref="P31:Q31"/>
    <mergeCell ref="P32:Q32"/>
    <mergeCell ref="P33:Q33"/>
    <mergeCell ref="L35:U35"/>
    <mergeCell ref="L36:U36"/>
    <mergeCell ref="B49:F49"/>
    <mergeCell ref="G49:S49"/>
    <mergeCell ref="T49:AD49"/>
    <mergeCell ref="T54:AD54"/>
    <mergeCell ref="AE49:AJ49"/>
    <mergeCell ref="AK49:AN49"/>
    <mergeCell ref="B50:F51"/>
    <mergeCell ref="G50:S50"/>
    <mergeCell ref="T50:AD50"/>
    <mergeCell ref="AE50:AJ50"/>
    <mergeCell ref="AK50:AN50"/>
    <mergeCell ref="G51:S51"/>
    <mergeCell ref="G52:S52"/>
    <mergeCell ref="B18:G20"/>
    <mergeCell ref="B24:G24"/>
    <mergeCell ref="B27:G27"/>
    <mergeCell ref="B25:G25"/>
    <mergeCell ref="H25:R25"/>
    <mergeCell ref="R33:U33"/>
    <mergeCell ref="H24:M24"/>
    <mergeCell ref="H27:M27"/>
    <mergeCell ref="L30:O30"/>
    <mergeCell ref="L31:O31"/>
    <mergeCell ref="L33:O33"/>
    <mergeCell ref="B30:K30"/>
    <mergeCell ref="B31:K31"/>
    <mergeCell ref="B32:K32"/>
    <mergeCell ref="B33:K33"/>
    <mergeCell ref="L29:U29"/>
    <mergeCell ref="R30:U30"/>
    <mergeCell ref="R31:U31"/>
    <mergeCell ref="L32:O32"/>
    <mergeCell ref="R32:U32"/>
    <mergeCell ref="B26:G26"/>
    <mergeCell ref="H26:M26"/>
    <mergeCell ref="B29:K29"/>
    <mergeCell ref="U24:AN25"/>
    <mergeCell ref="AG63:AI63"/>
    <mergeCell ref="AJ63:AM63"/>
    <mergeCell ref="A8:AO8"/>
    <mergeCell ref="H15:Q15"/>
    <mergeCell ref="H17:Q17"/>
    <mergeCell ref="H16:Q16"/>
    <mergeCell ref="W15:AB15"/>
    <mergeCell ref="W16:AB16"/>
    <mergeCell ref="A9:AO9"/>
    <mergeCell ref="AC16:AG16"/>
    <mergeCell ref="H18:L18"/>
    <mergeCell ref="M18:Q18"/>
    <mergeCell ref="B13:G13"/>
    <mergeCell ref="H19:L19"/>
    <mergeCell ref="M20:Q20"/>
    <mergeCell ref="H20:L20"/>
    <mergeCell ref="AC15:AG15"/>
    <mergeCell ref="B17:G17"/>
    <mergeCell ref="M19:Q19"/>
    <mergeCell ref="B16:G16"/>
    <mergeCell ref="H13:T13"/>
    <mergeCell ref="B14:G14"/>
    <mergeCell ref="H14:Q14"/>
    <mergeCell ref="B15:G15"/>
    <mergeCell ref="C68:F69"/>
    <mergeCell ref="C70:F70"/>
    <mergeCell ref="C71:F72"/>
    <mergeCell ref="G68:S68"/>
    <mergeCell ref="T68:Y68"/>
    <mergeCell ref="Z68:AC68"/>
    <mergeCell ref="G69:S69"/>
    <mergeCell ref="T69:Y69"/>
    <mergeCell ref="Z69:AC69"/>
    <mergeCell ref="G70:S70"/>
    <mergeCell ref="T70:Y70"/>
    <mergeCell ref="Z70:AC70"/>
    <mergeCell ref="G71:S71"/>
    <mergeCell ref="T71:Y71"/>
    <mergeCell ref="T59:Y59"/>
    <mergeCell ref="C61:F61"/>
    <mergeCell ref="C62:F63"/>
    <mergeCell ref="C64:F64"/>
    <mergeCell ref="C65:F66"/>
    <mergeCell ref="C67:F67"/>
    <mergeCell ref="Z59:AB59"/>
    <mergeCell ref="G61:S61"/>
    <mergeCell ref="T61:Y61"/>
    <mergeCell ref="Z61:AC61"/>
    <mergeCell ref="G62:S62"/>
    <mergeCell ref="T62:V62"/>
    <mergeCell ref="W62:Y62"/>
    <mergeCell ref="Z62:AC62"/>
    <mergeCell ref="G63:S63"/>
    <mergeCell ref="T63:V63"/>
    <mergeCell ref="W63:Y63"/>
    <mergeCell ref="Z63:AC63"/>
    <mergeCell ref="AD65:AI65"/>
    <mergeCell ref="AJ65:AM65"/>
    <mergeCell ref="AD66:AI66"/>
    <mergeCell ref="AJ66:AM66"/>
    <mergeCell ref="AD61:AI61"/>
    <mergeCell ref="AJ61:AM61"/>
    <mergeCell ref="Z71:AC71"/>
    <mergeCell ref="G72:S72"/>
    <mergeCell ref="T72:Y72"/>
    <mergeCell ref="Z72:AC72"/>
    <mergeCell ref="AD70:AI70"/>
    <mergeCell ref="AJ70:AM70"/>
    <mergeCell ref="AD71:AI71"/>
    <mergeCell ref="AJ71:AM71"/>
    <mergeCell ref="AD72:AI72"/>
    <mergeCell ref="AJ72:AM72"/>
    <mergeCell ref="AD68:AI68"/>
    <mergeCell ref="AJ68:AM68"/>
    <mergeCell ref="AD69:AI69"/>
    <mergeCell ref="AJ69:AM69"/>
    <mergeCell ref="AD62:AF62"/>
    <mergeCell ref="AG62:AI62"/>
    <mergeCell ref="AJ62:AM62"/>
    <mergeCell ref="AD63:AF63"/>
    <mergeCell ref="V31:Y31"/>
    <mergeCell ref="V33:Y33"/>
    <mergeCell ref="B34:K34"/>
    <mergeCell ref="L34:O34"/>
    <mergeCell ref="P34:Q34"/>
    <mergeCell ref="R34:U34"/>
    <mergeCell ref="AD59:AI59"/>
    <mergeCell ref="AJ59:AL59"/>
    <mergeCell ref="G67:S67"/>
    <mergeCell ref="T67:Y67"/>
    <mergeCell ref="Z67:AC67"/>
    <mergeCell ref="AD67:AI67"/>
    <mergeCell ref="AJ67:AM67"/>
    <mergeCell ref="G64:S64"/>
    <mergeCell ref="T64:Y64"/>
    <mergeCell ref="Z64:AC64"/>
    <mergeCell ref="G65:S65"/>
    <mergeCell ref="T65:Y65"/>
    <mergeCell ref="Z65:AC65"/>
    <mergeCell ref="G66:S66"/>
    <mergeCell ref="T66:Y66"/>
    <mergeCell ref="Z66:AC66"/>
    <mergeCell ref="AD64:AI64"/>
    <mergeCell ref="AJ64:AM64"/>
  </mergeCells>
  <dataValidations count="16">
    <dataValidation type="list" allowBlank="1" showInputMessage="1" showErrorMessage="1" sqref="H24">
      <formula1>"421-A,421-B"</formula1>
    </dataValidation>
    <dataValidation type="list" allowBlank="1" showInputMessage="1" showErrorMessage="1" sqref="AG62:AG63 W62:W63 AH41:AH44">
      <formula1>"Normal,Near Spin,Spin,Solid Spin"</formula1>
    </dataValidation>
    <dataValidation type="whole" operator="greaterThanOrEqual" allowBlank="1" showInputMessage="1" showErrorMessage="1" sqref="H18:Q20 H27:M27">
      <formula1>0</formula1>
    </dataValidation>
    <dataValidation type="decimal" allowBlank="1" showInputMessage="1" showErrorMessage="1" sqref="L30:O30">
      <formula1>0.25</formula1>
      <formula2>3.5</formula2>
    </dataValidation>
    <dataValidation type="decimal" operator="lessThanOrEqual" allowBlank="1" showInputMessage="1" showErrorMessage="1" sqref="R30:U30">
      <formula1>0.5</formula1>
    </dataValidation>
    <dataValidation type="decimal" allowBlank="1" showInputMessage="1" showErrorMessage="1" sqref="L31:O31 AE50:AJ50 AE51:AJ51 AE52:AJ52 T68:Y70 AD68:AI70">
      <formula1>0</formula1>
      <formula2>20</formula2>
    </dataValidation>
    <dataValidation type="decimal" operator="lessThanOrEqual" allowBlank="1" showInputMessage="1" showErrorMessage="1" sqref="R31:U31">
      <formula1>1.5</formula1>
    </dataValidation>
    <dataValidation type="decimal" allowBlank="1" showInputMessage="1" showErrorMessage="1" sqref="L32:O32 R32:U32">
      <formula1>0</formula1>
      <formula2>14</formula2>
    </dataValidation>
    <dataValidation type="decimal" allowBlank="1" showInputMessage="1" showErrorMessage="1" sqref="L33:O33">
      <formula1>0</formula1>
      <formula2>2</formula2>
    </dataValidation>
    <dataValidation type="decimal" operator="lessThanOrEqual" allowBlank="1" showInputMessage="1" showErrorMessage="1" sqref="R33:U33">
      <formula1>0.2</formula1>
    </dataValidation>
    <dataValidation type="decimal" allowBlank="1" showInputMessage="1" showErrorMessage="1" sqref="L34:O34 R34:U34">
      <formula1>0</formula1>
      <formula2>1000</formula2>
    </dataValidation>
    <dataValidation type="decimal" allowBlank="1" showInputMessage="1" showErrorMessage="1" sqref="L36:U36">
      <formula1>6.5</formula1>
      <formula2>8.5</formula2>
    </dataValidation>
    <dataValidation type="decimal" allowBlank="1" showInputMessage="1" showErrorMessage="1" sqref="AE41:AG44 T62:V63 AD62:AF63">
      <formula1>0</formula1>
      <formula2>40</formula2>
    </dataValidation>
    <dataValidation type="whole" allowBlank="1" showInputMessage="1" showErrorMessage="1" sqref="AE45:AJ45">
      <formula1>40</formula1>
      <formula2>140</formula2>
    </dataValidation>
    <dataValidation type="decimal" allowBlank="1" showInputMessage="1" showErrorMessage="1" sqref="AE46:AJ46 T64:Y64 AD64:AI64">
      <formula1>0</formula1>
      <formula2>100</formula2>
    </dataValidation>
    <dataValidation type="decimal" allowBlank="1" showInputMessage="1" showErrorMessage="1" sqref="AE47:AJ49 AE53:AJ54 T65:Y67 AD65:AI67 T71:Y72 AD71:AI72">
      <formula1>0</formula1>
      <formula2>2000</formula2>
    </dataValidation>
  </dataValidations>
  <printOptions horizontalCentered="1"/>
  <pageMargins left="0.5" right="0.5" top="0.5" bottom="0.5" header="0.5" footer="0.5"/>
  <pageSetup scale="58" orientation="portrait" horizontalDpi="300" verticalDpi="300" r:id="rId1"/>
  <headerFooter alignWithMargins="0"/>
  <ignoredErrors>
    <ignoredError sqref="L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'Spec year &amp; 800 dates'!$A$4:$A$7</xm:f>
          </x14:formula1>
          <xm:sqref>AC15:AG15</xm:sqref>
        </x14:dataValidation>
        <x14:dataValidation type="list" allowBlank="1" showInputMessage="1" showErrorMessage="1">
          <x14:formula1>
            <xm:f>'Spec year &amp; 800 dates'!$C$4:$C$30</xm:f>
          </x14:formula1>
          <xm:sqref>AC16:AG16</xm:sqref>
        </x14:dataValidation>
        <x14:dataValidation type="list" allowBlank="1" showInputMessage="1" showErrorMessage="1">
          <x14:formula1>
            <xm:f>'02-Relevant Item Codes'!$B$21:$B$24</xm:f>
          </x14:formula1>
          <xm:sqref>H25:R25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6"/>
  <sheetViews>
    <sheetView topLeftCell="A5" workbookViewId="0">
      <selection activeCell="A10" sqref="A10"/>
    </sheetView>
  </sheetViews>
  <sheetFormatPr defaultRowHeight="12.75" x14ac:dyDescent="0.2"/>
  <cols>
    <col min="1" max="1" width="28.7109375" style="175" customWidth="1"/>
    <col min="2" max="13" width="9.140625" style="175"/>
    <col min="14" max="17" width="10" style="175" customWidth="1"/>
    <col min="18" max="21" width="9.140625" style="175"/>
    <col min="22" max="22" width="15.7109375" style="175" customWidth="1"/>
    <col min="23" max="23" width="24.140625" style="175" bestFit="1" customWidth="1"/>
    <col min="24" max="24" width="23.5703125" style="175" bestFit="1" customWidth="1"/>
    <col min="25" max="16384" width="9.140625" style="175"/>
  </cols>
  <sheetData>
    <row r="1" spans="1:39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ht="15.75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</row>
    <row r="9" spans="1:39" ht="15.75" x14ac:dyDescent="0.2">
      <c r="A9" s="284" t="s">
        <v>1651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</row>
    <row r="10" spans="1:39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</row>
    <row r="11" spans="1:39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</row>
    <row r="12" spans="1:39" ht="12.75" customHeight="1" x14ac:dyDescent="0.2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</row>
    <row r="13" spans="1:39" ht="12.75" customHeight="1" x14ac:dyDescent="0.2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</row>
    <row r="14" spans="1:39" ht="12.75" customHeight="1" x14ac:dyDescent="0.2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U14" s="182" t="s">
        <v>1647</v>
      </c>
      <c r="V14" s="182" t="s">
        <v>1648</v>
      </c>
      <c r="W14" s="182" t="s">
        <v>1650</v>
      </c>
      <c r="X14" s="182" t="s">
        <v>1649</v>
      </c>
    </row>
    <row r="15" spans="1:39" ht="12.75" customHeight="1" x14ac:dyDescent="0.2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U15" s="184">
        <f>'JMF SHEET PG 1'!Z59</f>
        <v>7</v>
      </c>
      <c r="V15" s="183">
        <f>'JMF SHEET PG 1'!T67</f>
        <v>71</v>
      </c>
      <c r="W15" s="183">
        <f>'JMF SHEET PG 1'!T65</f>
        <v>65.8</v>
      </c>
      <c r="X15" s="183">
        <f>'JMF SHEET PG 1'!T66</f>
        <v>565.9</v>
      </c>
    </row>
    <row r="16" spans="1:39" x14ac:dyDescent="0.2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U16" s="184">
        <f>'JMF SHEET PG 1'!L36</f>
        <v>8</v>
      </c>
      <c r="V16" s="183">
        <f>'JMF SHEET PG 1'!AE49</f>
        <v>52.1</v>
      </c>
      <c r="W16" s="183">
        <f>'JMF SHEET PG 1'!AE47</f>
        <v>49</v>
      </c>
      <c r="X16" s="183">
        <f>'JMF SHEET PG 1'!AE48</f>
        <v>269.8</v>
      </c>
    </row>
    <row r="17" spans="1:24" x14ac:dyDescent="0.2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U17" s="184">
        <f>'JMF SHEET PG 1'!AJ59</f>
        <v>8.5</v>
      </c>
      <c r="V17" s="183">
        <f>'JMF SHEET PG 1'!AD67</f>
        <v>97.8</v>
      </c>
      <c r="W17" s="183">
        <f>'JMF SHEET PG 1'!AD65</f>
        <v>134.9</v>
      </c>
      <c r="X17" s="183">
        <f>'JMF SHEET PG 1'!AD66</f>
        <v>187.5</v>
      </c>
    </row>
    <row r="18" spans="1:24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24" x14ac:dyDescent="0.2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</row>
    <row r="20" spans="1:24" x14ac:dyDescent="0.2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</row>
    <row r="21" spans="1:24" x14ac:dyDescent="0.2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</row>
    <row r="22" spans="1:24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</row>
    <row r="23" spans="1:24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</row>
    <row r="24" spans="1:24" x14ac:dyDescent="0.2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</row>
    <row r="25" spans="1:24" x14ac:dyDescent="0.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</row>
    <row r="26" spans="1:24" ht="12.75" customHeight="1" x14ac:dyDescent="0.2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</row>
    <row r="27" spans="1:24" ht="12.75" customHeight="1" x14ac:dyDescent="0.2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</row>
    <row r="28" spans="1:24" ht="12.75" customHeight="1" x14ac:dyDescent="0.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</row>
    <row r="29" spans="1:24" ht="12.75" customHeight="1" x14ac:dyDescent="0.2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</row>
    <row r="30" spans="1:24" ht="12.75" customHeight="1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</row>
    <row r="31" spans="1:24" x14ac:dyDescent="0.2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</row>
    <row r="32" spans="1:24" x14ac:dyDescent="0.2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</row>
    <row r="33" spans="1:19" x14ac:dyDescent="0.2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</row>
    <row r="34" spans="1:19" x14ac:dyDescent="0.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</row>
    <row r="35" spans="1:19" x14ac:dyDescent="0.2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</row>
    <row r="36" spans="1:19" x14ac:dyDescent="0.2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</row>
    <row r="37" spans="1:19" x14ac:dyDescent="0.2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</row>
    <row r="38" spans="1:19" x14ac:dyDescent="0.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</row>
    <row r="39" spans="1:19" x14ac:dyDescent="0.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</row>
    <row r="40" spans="1:19" x14ac:dyDescent="0.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</row>
    <row r="41" spans="1:19" x14ac:dyDescent="0.2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</row>
    <row r="42" spans="1:19" x14ac:dyDescent="0.2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</row>
    <row r="43" spans="1:19" x14ac:dyDescent="0.2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</row>
    <row r="44" spans="1:19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</row>
    <row r="45" spans="1:19" x14ac:dyDescent="0.2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</row>
    <row r="46" spans="1:19" x14ac:dyDescent="0.2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</row>
    <row r="47" spans="1:19" x14ac:dyDescent="0.2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</row>
    <row r="48" spans="1:19" x14ac:dyDescent="0.2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</row>
    <row r="49" spans="1:18" x14ac:dyDescent="0.2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</row>
    <row r="50" spans="1:18" x14ac:dyDescent="0.2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</row>
    <row r="51" spans="1:18" x14ac:dyDescent="0.2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</row>
    <row r="52" spans="1:18" x14ac:dyDescent="0.2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</row>
    <row r="53" spans="1:18" x14ac:dyDescent="0.2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</row>
    <row r="54" spans="1:18" x14ac:dyDescent="0.2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</row>
    <row r="55" spans="1:18" x14ac:dyDescent="0.2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</row>
    <row r="56" spans="1:18" x14ac:dyDescent="0.2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</row>
    <row r="57" spans="1:18" x14ac:dyDescent="0.2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</row>
    <row r="58" spans="1:18" x14ac:dyDescent="0.2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</row>
    <row r="59" spans="1:18" x14ac:dyDescent="0.2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</row>
    <row r="60" spans="1:18" x14ac:dyDescent="0.2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</row>
    <row r="61" spans="1:18" x14ac:dyDescent="0.2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</row>
    <row r="62" spans="1:18" x14ac:dyDescent="0.2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</row>
    <row r="63" spans="1:18" x14ac:dyDescent="0.2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</row>
    <row r="64" spans="1:18" x14ac:dyDescent="0.2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</row>
    <row r="65" spans="1:18" x14ac:dyDescent="0.2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</row>
    <row r="66" spans="1:18" x14ac:dyDescent="0.2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</row>
    <row r="67" spans="1:18" x14ac:dyDescent="0.2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</row>
    <row r="68" spans="1:18" x14ac:dyDescent="0.2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</row>
    <row r="69" spans="1:18" x14ac:dyDescent="0.2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</row>
    <row r="70" spans="1:18" x14ac:dyDescent="0.2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</row>
    <row r="71" spans="1:18" x14ac:dyDescent="0.2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</row>
    <row r="72" spans="1:18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</row>
    <row r="73" spans="1:18" x14ac:dyDescent="0.2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</row>
    <row r="74" spans="1:18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</row>
    <row r="75" spans="1:18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</row>
    <row r="76" spans="1:18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</row>
    <row r="77" spans="1:18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</row>
    <row r="78" spans="1:18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</row>
    <row r="79" spans="1:18" x14ac:dyDescent="0.2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</row>
    <row r="80" spans="1:18" x14ac:dyDescent="0.2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</row>
    <row r="81" spans="1:18" x14ac:dyDescent="0.2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</row>
    <row r="82" spans="1:18" x14ac:dyDescent="0.2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</row>
    <row r="83" spans="1:18" x14ac:dyDescent="0.2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</row>
    <row r="84" spans="1:18" x14ac:dyDescent="0.2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</row>
    <row r="85" spans="1:18" x14ac:dyDescent="0.2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</row>
    <row r="86" spans="1:18" x14ac:dyDescent="0.2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</row>
  </sheetData>
  <sheetProtection algorithmName="SHA-512" hashValue="IVv37AifZ3Ob77LitlT11VWmlnElgr5ac/QRDdzVHBIHtzMPjE0xeLV9ecbE9Zn5Keqk8SAUk6qRi/8VpmU7VQ==" saltValue="s3WyRbiL7MsEt61jMnVy3A==" spinCount="100000" sheet="1" objects="1" scenarios="1"/>
  <mergeCells count="2">
    <mergeCell ref="A8:L8"/>
    <mergeCell ref="A9:L9"/>
  </mergeCells>
  <printOptions horizontalCentered="1"/>
  <pageMargins left="0.2" right="0.2" top="0.75" bottom="0.75" header="0.3" footer="0.3"/>
  <pageSetup scale="8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H40" sqref="H40"/>
    </sheetView>
  </sheetViews>
  <sheetFormatPr defaultRowHeight="12.75" x14ac:dyDescent="0.2"/>
  <cols>
    <col min="1" max="1" width="9.7109375" style="175" bestFit="1" customWidth="1"/>
    <col min="2" max="2" width="39.85546875" style="175" bestFit="1" customWidth="1"/>
    <col min="3" max="3" width="28.7109375" style="175" bestFit="1" customWidth="1"/>
    <col min="4" max="15" width="9.140625" style="175"/>
    <col min="16" max="19" width="10" style="175" customWidth="1"/>
    <col min="20" max="16384" width="9.140625" style="175"/>
  </cols>
  <sheetData>
    <row r="1" spans="1:4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5.75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</row>
    <row r="9" spans="1:41" ht="15.75" x14ac:dyDescent="0.2">
      <c r="A9" s="284" t="s">
        <v>1653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</row>
    <row r="10" spans="1:41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339" t="s">
        <v>1627</v>
      </c>
      <c r="M10" s="340"/>
      <c r="N10" s="340"/>
      <c r="O10" s="340"/>
      <c r="P10" s="340"/>
      <c r="Q10" s="340"/>
      <c r="R10" s="340"/>
      <c r="S10" s="340"/>
      <c r="T10" s="176"/>
      <c r="U10" s="176"/>
    </row>
    <row r="11" spans="1:41" x14ac:dyDescent="0.2">
      <c r="A11" s="337" t="s">
        <v>1625</v>
      </c>
      <c r="B11" s="338"/>
      <c r="C11" s="177" t="s">
        <v>1611</v>
      </c>
      <c r="D11" s="352" t="s">
        <v>1612</v>
      </c>
      <c r="E11" s="353"/>
      <c r="F11" s="352" t="s">
        <v>1613</v>
      </c>
      <c r="G11" s="353"/>
      <c r="H11" s="352" t="s">
        <v>1614</v>
      </c>
      <c r="I11" s="353"/>
      <c r="J11" s="352" t="s">
        <v>1615</v>
      </c>
      <c r="K11" s="353"/>
      <c r="L11" s="352" t="s">
        <v>1616</v>
      </c>
      <c r="M11" s="353"/>
      <c r="N11" s="352" t="s">
        <v>1617</v>
      </c>
      <c r="O11" s="353"/>
      <c r="P11" s="352" t="s">
        <v>1618</v>
      </c>
      <c r="Q11" s="353"/>
      <c r="R11" s="352" t="s">
        <v>1619</v>
      </c>
      <c r="S11" s="353"/>
      <c r="T11" s="176"/>
      <c r="U11" s="176"/>
    </row>
    <row r="12" spans="1:41" x14ac:dyDescent="0.2">
      <c r="A12" s="337"/>
      <c r="B12" s="338"/>
      <c r="C12" s="177" t="s">
        <v>1248</v>
      </c>
      <c r="D12" s="330">
        <f>'JMF SHEET PG 1'!$L$35</f>
        <v>12.4</v>
      </c>
      <c r="E12" s="331"/>
      <c r="F12" s="330">
        <f>'JMF SHEET PG 1'!$L$35</f>
        <v>12.4</v>
      </c>
      <c r="G12" s="331"/>
      <c r="H12" s="330">
        <f>'JMF SHEET PG 1'!$L$35</f>
        <v>12.4</v>
      </c>
      <c r="I12" s="331"/>
      <c r="J12" s="330">
        <f>'JMF SHEET PG 1'!$L$35</f>
        <v>12.4</v>
      </c>
      <c r="K12" s="331"/>
      <c r="L12" s="330">
        <f>'JMF SHEET PG 1'!$L$35</f>
        <v>12.4</v>
      </c>
      <c r="M12" s="331"/>
      <c r="N12" s="330">
        <f>'JMF SHEET PG 1'!$L$35</f>
        <v>12.4</v>
      </c>
      <c r="O12" s="331"/>
      <c r="P12" s="330">
        <f>'JMF SHEET PG 1'!$L$35</f>
        <v>12.4</v>
      </c>
      <c r="Q12" s="331"/>
      <c r="R12" s="330">
        <f>'JMF SHEET PG 1'!$L$35</f>
        <v>12.4</v>
      </c>
      <c r="S12" s="331"/>
      <c r="T12" s="176"/>
      <c r="U12" s="176"/>
    </row>
    <row r="13" spans="1:41" x14ac:dyDescent="0.2">
      <c r="A13" s="337"/>
      <c r="B13" s="338"/>
      <c r="C13" s="177" t="s">
        <v>1276</v>
      </c>
      <c r="D13" s="354">
        <f>'JMF SHEET PG 1'!$L$30-'JMF SHEET PG 1'!$R$30</f>
        <v>0.7</v>
      </c>
      <c r="E13" s="355"/>
      <c r="F13" s="354">
        <f>'JMF SHEET PG 1'!$L$30+'JMF SHEET PG 1'!$R$30</f>
        <v>1.3</v>
      </c>
      <c r="G13" s="355"/>
      <c r="H13" s="354">
        <f>'JMF SHEET PG 1'!$L$30</f>
        <v>1</v>
      </c>
      <c r="I13" s="355"/>
      <c r="J13" s="354">
        <f>'JMF SHEET PG 1'!$L$30</f>
        <v>1</v>
      </c>
      <c r="K13" s="355"/>
      <c r="L13" s="354">
        <f>'JMF SHEET PG 1'!$L$30</f>
        <v>1</v>
      </c>
      <c r="M13" s="355"/>
      <c r="N13" s="354">
        <f>'JMF SHEET PG 1'!$L$30</f>
        <v>1</v>
      </c>
      <c r="O13" s="355"/>
      <c r="P13" s="354">
        <f>'JMF SHEET PG 1'!$L$30-'JMF SHEET PG 1'!$R$30</f>
        <v>0.7</v>
      </c>
      <c r="Q13" s="355"/>
      <c r="R13" s="354">
        <f>'JMF SHEET PG 1'!$L$30+'JMF SHEET PG 1'!$R$30</f>
        <v>1.3</v>
      </c>
      <c r="S13" s="355"/>
      <c r="T13" s="176"/>
      <c r="U13" s="176"/>
    </row>
    <row r="14" spans="1:41" x14ac:dyDescent="0.2">
      <c r="A14" s="337"/>
      <c r="B14" s="338"/>
      <c r="C14" s="177" t="s">
        <v>1609</v>
      </c>
      <c r="D14" s="330">
        <f>'JMF SHEET PG 1'!$L$31</f>
        <v>10</v>
      </c>
      <c r="E14" s="331"/>
      <c r="F14" s="330">
        <f>'JMF SHEET PG 1'!$L$31</f>
        <v>10</v>
      </c>
      <c r="G14" s="331"/>
      <c r="H14" s="358">
        <f>'JMF SHEET PG 1'!$L$31-'JMF SHEET PG 1'!$R$31</f>
        <v>9.5</v>
      </c>
      <c r="I14" s="359"/>
      <c r="J14" s="358">
        <f>'JMF SHEET PG 1'!$L$31+'JMF SHEET PG 1'!$R$31</f>
        <v>10.5</v>
      </c>
      <c r="K14" s="359"/>
      <c r="L14" s="358">
        <f>'JMF SHEET PG 1'!$L$31</f>
        <v>10</v>
      </c>
      <c r="M14" s="359"/>
      <c r="N14" s="358">
        <f>'JMF SHEET PG 1'!$L$31</f>
        <v>10</v>
      </c>
      <c r="O14" s="359"/>
      <c r="P14" s="330">
        <f>'JMF SHEET PG 1'!$L31</f>
        <v>10</v>
      </c>
      <c r="Q14" s="331"/>
      <c r="R14" s="330">
        <f>'JMF SHEET PG 1'!$L31</f>
        <v>10</v>
      </c>
      <c r="S14" s="331"/>
      <c r="T14" s="176"/>
      <c r="U14" s="176"/>
    </row>
    <row r="15" spans="1:41" x14ac:dyDescent="0.2">
      <c r="A15" s="337"/>
      <c r="B15" s="338"/>
      <c r="C15" s="177" t="s">
        <v>1610</v>
      </c>
      <c r="D15" s="356">
        <f>'JMF SHEET PG 1'!$L$33</f>
        <v>0.02</v>
      </c>
      <c r="E15" s="357"/>
      <c r="F15" s="356">
        <f>'JMF SHEET PG 1'!$L$33</f>
        <v>0.02</v>
      </c>
      <c r="G15" s="357"/>
      <c r="H15" s="356">
        <f>'JMF SHEET PG 1'!$L$33</f>
        <v>0.02</v>
      </c>
      <c r="I15" s="357"/>
      <c r="J15" s="356">
        <f>'JMF SHEET PG 1'!$L$33</f>
        <v>0.02</v>
      </c>
      <c r="K15" s="357"/>
      <c r="L15" s="356">
        <f>'JMF SHEET PG 1'!$L$33-'JMF SHEET PG 1'!$R$33</f>
        <v>0</v>
      </c>
      <c r="M15" s="357"/>
      <c r="N15" s="356">
        <f>'JMF SHEET PG 1'!$L$33+'JMF SHEET PG 1'!$R$33</f>
        <v>0.04</v>
      </c>
      <c r="O15" s="357"/>
      <c r="P15" s="356">
        <f>'JMF SHEET PG 1'!$L$33-'JMF SHEET PG 1'!$R$33</f>
        <v>0</v>
      </c>
      <c r="Q15" s="357"/>
      <c r="R15" s="356">
        <f>'JMF SHEET PG 1'!$L$33+'JMF SHEET PG 1'!$R$33</f>
        <v>0.04</v>
      </c>
      <c r="S15" s="357"/>
      <c r="T15" s="176"/>
      <c r="U15" s="176"/>
    </row>
    <row r="16" spans="1:41" x14ac:dyDescent="0.2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x14ac:dyDescent="0.2">
      <c r="A17" s="157" t="s">
        <v>1207</v>
      </c>
      <c r="B17" s="157" t="s">
        <v>1194</v>
      </c>
      <c r="C17" s="157" t="s">
        <v>172</v>
      </c>
      <c r="D17" s="341" t="s">
        <v>1205</v>
      </c>
      <c r="E17" s="342"/>
      <c r="F17" s="341" t="s">
        <v>1205</v>
      </c>
      <c r="G17" s="342"/>
      <c r="H17" s="341" t="s">
        <v>1205</v>
      </c>
      <c r="I17" s="342"/>
      <c r="J17" s="341" t="s">
        <v>1205</v>
      </c>
      <c r="K17" s="342"/>
      <c r="L17" s="341" t="s">
        <v>1205</v>
      </c>
      <c r="M17" s="342"/>
      <c r="N17" s="341" t="s">
        <v>1205</v>
      </c>
      <c r="O17" s="342"/>
      <c r="P17" s="341" t="s">
        <v>1205</v>
      </c>
      <c r="Q17" s="342"/>
      <c r="R17" s="324" t="s">
        <v>1205</v>
      </c>
      <c r="S17" s="324"/>
      <c r="T17" s="176"/>
      <c r="U17" s="176"/>
    </row>
    <row r="18" spans="1:21" x14ac:dyDescent="0.2">
      <c r="A18" s="334" t="s">
        <v>1197</v>
      </c>
      <c r="B18" s="148" t="s">
        <v>1308</v>
      </c>
      <c r="C18" s="158" t="s">
        <v>1202</v>
      </c>
      <c r="D18" s="154">
        <v>12</v>
      </c>
      <c r="E18" s="150" t="s">
        <v>1316</v>
      </c>
      <c r="F18" s="154">
        <v>15</v>
      </c>
      <c r="G18" s="150" t="s">
        <v>1316</v>
      </c>
      <c r="H18" s="154">
        <v>16</v>
      </c>
      <c r="I18" s="150" t="s">
        <v>1316</v>
      </c>
      <c r="J18" s="154">
        <v>12</v>
      </c>
      <c r="K18" s="150" t="s">
        <v>1316</v>
      </c>
      <c r="L18" s="154">
        <v>16</v>
      </c>
      <c r="M18" s="150" t="s">
        <v>1316</v>
      </c>
      <c r="N18" s="154">
        <v>13</v>
      </c>
      <c r="O18" s="150" t="s">
        <v>1316</v>
      </c>
      <c r="P18" s="154">
        <v>12</v>
      </c>
      <c r="Q18" s="150" t="s">
        <v>1316</v>
      </c>
      <c r="R18" s="153">
        <v>14</v>
      </c>
      <c r="S18" s="149" t="s">
        <v>1316</v>
      </c>
      <c r="T18" s="176"/>
      <c r="U18" s="176"/>
    </row>
    <row r="19" spans="1:21" x14ac:dyDescent="0.2">
      <c r="A19" s="335"/>
      <c r="B19" s="148" t="s">
        <v>1309</v>
      </c>
      <c r="C19" s="158" t="s">
        <v>1203</v>
      </c>
      <c r="D19" s="154">
        <v>15</v>
      </c>
      <c r="E19" s="150" t="s">
        <v>1305</v>
      </c>
      <c r="F19" s="154">
        <v>20</v>
      </c>
      <c r="G19" s="150" t="s">
        <v>1305</v>
      </c>
      <c r="H19" s="154">
        <v>20</v>
      </c>
      <c r="I19" s="150" t="s">
        <v>1305</v>
      </c>
      <c r="J19" s="154">
        <v>15</v>
      </c>
      <c r="K19" s="150" t="s">
        <v>1305</v>
      </c>
      <c r="L19" s="154">
        <v>19</v>
      </c>
      <c r="M19" s="150" t="s">
        <v>1305</v>
      </c>
      <c r="N19" s="154">
        <v>16</v>
      </c>
      <c r="O19" s="150" t="s">
        <v>1305</v>
      </c>
      <c r="P19" s="154">
        <v>15</v>
      </c>
      <c r="Q19" s="150" t="s">
        <v>1305</v>
      </c>
      <c r="R19" s="153">
        <v>19</v>
      </c>
      <c r="S19" s="149" t="s">
        <v>1305</v>
      </c>
      <c r="T19" s="176"/>
      <c r="U19" s="176"/>
    </row>
    <row r="20" spans="1:21" x14ac:dyDescent="0.2">
      <c r="A20" s="159" t="s">
        <v>1196</v>
      </c>
      <c r="B20" s="148" t="s">
        <v>1314</v>
      </c>
      <c r="C20" s="158" t="s">
        <v>1201</v>
      </c>
      <c r="D20" s="312">
        <v>195</v>
      </c>
      <c r="E20" s="313"/>
      <c r="F20" s="312">
        <v>160</v>
      </c>
      <c r="G20" s="313"/>
      <c r="H20" s="312">
        <v>165</v>
      </c>
      <c r="I20" s="313"/>
      <c r="J20" s="312">
        <v>230</v>
      </c>
      <c r="K20" s="313"/>
      <c r="L20" s="312">
        <v>190</v>
      </c>
      <c r="M20" s="313"/>
      <c r="N20" s="312">
        <v>173</v>
      </c>
      <c r="O20" s="313"/>
      <c r="P20" s="312">
        <v>170</v>
      </c>
      <c r="Q20" s="313"/>
      <c r="R20" s="224">
        <v>177</v>
      </c>
      <c r="S20" s="224"/>
      <c r="T20" s="176"/>
      <c r="U20" s="176"/>
    </row>
    <row r="21" spans="1:21" x14ac:dyDescent="0.2">
      <c r="A21" s="178"/>
      <c r="B21" s="148" t="s">
        <v>1315</v>
      </c>
      <c r="C21" s="158" t="s">
        <v>1593</v>
      </c>
      <c r="D21" s="312">
        <v>70</v>
      </c>
      <c r="E21" s="313"/>
      <c r="F21" s="312">
        <v>60</v>
      </c>
      <c r="G21" s="313"/>
      <c r="H21" s="312">
        <v>61</v>
      </c>
      <c r="I21" s="313"/>
      <c r="J21" s="312">
        <v>82</v>
      </c>
      <c r="K21" s="313"/>
      <c r="L21" s="312">
        <v>66</v>
      </c>
      <c r="M21" s="313"/>
      <c r="N21" s="312">
        <v>63</v>
      </c>
      <c r="O21" s="313"/>
      <c r="P21" s="312">
        <v>64</v>
      </c>
      <c r="Q21" s="313"/>
      <c r="R21" s="224">
        <v>65</v>
      </c>
      <c r="S21" s="224"/>
      <c r="T21" s="176"/>
      <c r="U21" s="176"/>
    </row>
    <row r="22" spans="1:21" x14ac:dyDescent="0.2">
      <c r="A22" s="185"/>
      <c r="B22" s="148" t="s">
        <v>1623</v>
      </c>
      <c r="C22" s="186" t="s">
        <v>1624</v>
      </c>
      <c r="D22" s="253">
        <v>104</v>
      </c>
      <c r="E22" s="255"/>
      <c r="F22" s="253">
        <v>50</v>
      </c>
      <c r="G22" s="255"/>
      <c r="H22" s="253">
        <v>77</v>
      </c>
      <c r="I22" s="255"/>
      <c r="J22" s="253">
        <v>77</v>
      </c>
      <c r="K22" s="255"/>
      <c r="L22" s="253">
        <v>50</v>
      </c>
      <c r="M22" s="255"/>
      <c r="N22" s="253">
        <v>104</v>
      </c>
      <c r="O22" s="255"/>
      <c r="P22" s="253">
        <v>77</v>
      </c>
      <c r="Q22" s="255"/>
      <c r="R22" s="253">
        <v>77</v>
      </c>
      <c r="S22" s="255"/>
      <c r="T22" s="176"/>
      <c r="U22" s="176"/>
    </row>
    <row r="23" spans="1:21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</row>
    <row r="24" spans="1:21" x14ac:dyDescent="0.2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</row>
    <row r="25" spans="1:21" x14ac:dyDescent="0.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</row>
    <row r="26" spans="1:21" x14ac:dyDescent="0.2">
      <c r="A26" s="337" t="s">
        <v>1626</v>
      </c>
      <c r="B26" s="338"/>
      <c r="C26" s="177" t="s">
        <v>1611</v>
      </c>
      <c r="D26" s="348" t="s">
        <v>1685</v>
      </c>
      <c r="E26" s="349"/>
      <c r="F26" s="348"/>
      <c r="G26" s="349"/>
      <c r="H26" s="348"/>
      <c r="I26" s="349"/>
      <c r="J26" s="348"/>
      <c r="K26" s="349"/>
      <c r="L26" s="348"/>
      <c r="M26" s="349"/>
      <c r="N26" s="348"/>
      <c r="O26" s="349"/>
      <c r="P26" s="348"/>
      <c r="Q26" s="349"/>
      <c r="R26" s="348"/>
      <c r="S26" s="349"/>
      <c r="T26" s="176"/>
      <c r="U26" s="176"/>
    </row>
    <row r="27" spans="1:21" x14ac:dyDescent="0.2">
      <c r="A27" s="337"/>
      <c r="B27" s="338"/>
      <c r="C27" s="177" t="s">
        <v>1248</v>
      </c>
      <c r="D27" s="330">
        <f>'JMF SHEET PG 1'!$L$35</f>
        <v>12.4</v>
      </c>
      <c r="E27" s="331"/>
      <c r="F27" s="330">
        <f>'JMF SHEET PG 1'!$L$35</f>
        <v>12.4</v>
      </c>
      <c r="G27" s="331"/>
      <c r="H27" s="330">
        <f>'JMF SHEET PG 1'!$L$35</f>
        <v>12.4</v>
      </c>
      <c r="I27" s="331"/>
      <c r="J27" s="330">
        <f>'JMF SHEET PG 1'!$L$35</f>
        <v>12.4</v>
      </c>
      <c r="K27" s="331"/>
      <c r="L27" s="330">
        <f>'JMF SHEET PG 1'!$L$35</f>
        <v>12.4</v>
      </c>
      <c r="M27" s="331"/>
      <c r="N27" s="330">
        <f>'JMF SHEET PG 1'!$L$35</f>
        <v>12.4</v>
      </c>
      <c r="O27" s="331"/>
      <c r="P27" s="330">
        <f>'JMF SHEET PG 1'!$L$35</f>
        <v>12.4</v>
      </c>
      <c r="Q27" s="331"/>
      <c r="R27" s="330">
        <f>'JMF SHEET PG 1'!$L$35</f>
        <v>12.4</v>
      </c>
      <c r="S27" s="331"/>
      <c r="T27" s="176"/>
      <c r="U27" s="176"/>
    </row>
    <row r="28" spans="1:21" x14ac:dyDescent="0.2">
      <c r="A28" s="337"/>
      <c r="B28" s="338"/>
      <c r="C28" s="177" t="s">
        <v>1276</v>
      </c>
      <c r="D28" s="350">
        <v>1.3</v>
      </c>
      <c r="E28" s="351"/>
      <c r="F28" s="350"/>
      <c r="G28" s="351"/>
      <c r="H28" s="350"/>
      <c r="I28" s="351"/>
      <c r="J28" s="350"/>
      <c r="K28" s="351"/>
      <c r="L28" s="350"/>
      <c r="M28" s="351"/>
      <c r="N28" s="350"/>
      <c r="O28" s="351"/>
      <c r="P28" s="350"/>
      <c r="Q28" s="351"/>
      <c r="R28" s="350"/>
      <c r="S28" s="351"/>
      <c r="T28" s="176"/>
      <c r="U28" s="176"/>
    </row>
    <row r="29" spans="1:21" x14ac:dyDescent="0.2">
      <c r="A29" s="337"/>
      <c r="B29" s="338"/>
      <c r="C29" s="177" t="s">
        <v>1609</v>
      </c>
      <c r="D29" s="343">
        <v>10</v>
      </c>
      <c r="E29" s="344"/>
      <c r="F29" s="343"/>
      <c r="G29" s="344"/>
      <c r="H29" s="345"/>
      <c r="I29" s="346"/>
      <c r="J29" s="347"/>
      <c r="K29" s="346"/>
      <c r="L29" s="345"/>
      <c r="M29" s="346"/>
      <c r="N29" s="345"/>
      <c r="O29" s="346"/>
      <c r="P29" s="343"/>
      <c r="Q29" s="344"/>
      <c r="R29" s="343"/>
      <c r="S29" s="344"/>
      <c r="T29" s="176"/>
      <c r="U29" s="176"/>
    </row>
    <row r="30" spans="1:21" x14ac:dyDescent="0.2">
      <c r="A30" s="337"/>
      <c r="B30" s="338"/>
      <c r="C30" s="177" t="s">
        <v>1610</v>
      </c>
      <c r="D30" s="332">
        <v>0.04</v>
      </c>
      <c r="E30" s="333"/>
      <c r="F30" s="332"/>
      <c r="G30" s="333"/>
      <c r="H30" s="332"/>
      <c r="I30" s="333"/>
      <c r="J30" s="332"/>
      <c r="K30" s="333"/>
      <c r="L30" s="332"/>
      <c r="M30" s="333"/>
      <c r="N30" s="332"/>
      <c r="O30" s="333"/>
      <c r="P30" s="332"/>
      <c r="Q30" s="333"/>
      <c r="R30" s="332"/>
      <c r="S30" s="333"/>
      <c r="T30" s="176"/>
      <c r="U30" s="176"/>
    </row>
    <row r="31" spans="1:21" x14ac:dyDescent="0.2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</row>
    <row r="32" spans="1:21" x14ac:dyDescent="0.2">
      <c r="A32" s="157" t="s">
        <v>1207</v>
      </c>
      <c r="B32" s="157" t="s">
        <v>1194</v>
      </c>
      <c r="C32" s="157" t="s">
        <v>172</v>
      </c>
      <c r="D32" s="341" t="s">
        <v>1205</v>
      </c>
      <c r="E32" s="342"/>
      <c r="F32" s="341" t="s">
        <v>1205</v>
      </c>
      <c r="G32" s="342"/>
      <c r="H32" s="341" t="s">
        <v>1205</v>
      </c>
      <c r="I32" s="342"/>
      <c r="J32" s="341" t="s">
        <v>1205</v>
      </c>
      <c r="K32" s="342"/>
      <c r="L32" s="341" t="s">
        <v>1205</v>
      </c>
      <c r="M32" s="342"/>
      <c r="N32" s="341" t="s">
        <v>1205</v>
      </c>
      <c r="O32" s="342"/>
      <c r="P32" s="341" t="s">
        <v>1205</v>
      </c>
      <c r="Q32" s="342"/>
      <c r="R32" s="324" t="s">
        <v>1205</v>
      </c>
      <c r="S32" s="324"/>
      <c r="T32" s="176"/>
      <c r="U32" s="176"/>
    </row>
    <row r="33" spans="1:21" x14ac:dyDescent="0.2">
      <c r="A33" s="334" t="s">
        <v>1197</v>
      </c>
      <c r="B33" s="148" t="s">
        <v>1308</v>
      </c>
      <c r="C33" s="158" t="s">
        <v>1202</v>
      </c>
      <c r="D33" s="154">
        <v>14</v>
      </c>
      <c r="E33" s="150" t="s">
        <v>1316</v>
      </c>
      <c r="F33" s="154"/>
      <c r="G33" s="150"/>
      <c r="H33" s="154"/>
      <c r="I33" s="150"/>
      <c r="J33" s="154"/>
      <c r="K33" s="150"/>
      <c r="L33" s="154"/>
      <c r="M33" s="150"/>
      <c r="N33" s="154"/>
      <c r="O33" s="150"/>
      <c r="P33" s="154"/>
      <c r="Q33" s="150"/>
      <c r="R33" s="153"/>
      <c r="S33" s="149"/>
      <c r="T33" s="176"/>
      <c r="U33" s="176"/>
    </row>
    <row r="34" spans="1:21" x14ac:dyDescent="0.2">
      <c r="A34" s="335"/>
      <c r="B34" s="148" t="s">
        <v>1309</v>
      </c>
      <c r="C34" s="158" t="s">
        <v>1203</v>
      </c>
      <c r="D34" s="154">
        <v>20</v>
      </c>
      <c r="E34" s="150" t="s">
        <v>1305</v>
      </c>
      <c r="F34" s="154"/>
      <c r="G34" s="150"/>
      <c r="H34" s="154"/>
      <c r="I34" s="150"/>
      <c r="J34" s="154"/>
      <c r="K34" s="150"/>
      <c r="L34" s="154"/>
      <c r="M34" s="150"/>
      <c r="N34" s="154"/>
      <c r="O34" s="150"/>
      <c r="P34" s="154"/>
      <c r="Q34" s="150"/>
      <c r="R34" s="153"/>
      <c r="S34" s="149"/>
      <c r="T34" s="176"/>
      <c r="U34" s="176"/>
    </row>
    <row r="35" spans="1:21" x14ac:dyDescent="0.2">
      <c r="A35" s="159" t="s">
        <v>1196</v>
      </c>
      <c r="B35" s="148" t="s">
        <v>1314</v>
      </c>
      <c r="C35" s="158" t="s">
        <v>1201</v>
      </c>
      <c r="D35" s="312">
        <v>186</v>
      </c>
      <c r="E35" s="313"/>
      <c r="F35" s="312"/>
      <c r="G35" s="313"/>
      <c r="H35" s="312"/>
      <c r="I35" s="313"/>
      <c r="J35" s="312"/>
      <c r="K35" s="313"/>
      <c r="L35" s="312"/>
      <c r="M35" s="313"/>
      <c r="N35" s="312"/>
      <c r="O35" s="313"/>
      <c r="P35" s="312"/>
      <c r="Q35" s="313"/>
      <c r="R35" s="224"/>
      <c r="S35" s="224"/>
      <c r="T35" s="176"/>
      <c r="U35" s="176"/>
    </row>
    <row r="36" spans="1:21" x14ac:dyDescent="0.2">
      <c r="A36" s="178"/>
      <c r="B36" s="148" t="s">
        <v>1315</v>
      </c>
      <c r="C36" s="158" t="s">
        <v>1593</v>
      </c>
      <c r="D36" s="312">
        <v>67</v>
      </c>
      <c r="E36" s="313"/>
      <c r="F36" s="312"/>
      <c r="G36" s="313"/>
      <c r="H36" s="312"/>
      <c r="I36" s="313"/>
      <c r="J36" s="312"/>
      <c r="K36" s="313"/>
      <c r="L36" s="312"/>
      <c r="M36" s="313"/>
      <c r="N36" s="312"/>
      <c r="O36" s="313"/>
      <c r="P36" s="312"/>
      <c r="Q36" s="313"/>
      <c r="R36" s="224"/>
      <c r="S36" s="224"/>
      <c r="T36" s="176"/>
      <c r="U36" s="176"/>
    </row>
    <row r="37" spans="1:21" x14ac:dyDescent="0.2">
      <c r="A37" s="185"/>
      <c r="B37" s="148" t="s">
        <v>1623</v>
      </c>
      <c r="C37" s="186" t="s">
        <v>1624</v>
      </c>
      <c r="D37" s="253">
        <v>50</v>
      </c>
      <c r="E37" s="255"/>
      <c r="F37" s="253"/>
      <c r="G37" s="255"/>
      <c r="H37" s="253"/>
      <c r="I37" s="255"/>
      <c r="J37" s="253"/>
      <c r="K37" s="255"/>
      <c r="L37" s="253"/>
      <c r="M37" s="255"/>
      <c r="N37" s="253"/>
      <c r="O37" s="255"/>
      <c r="P37" s="253"/>
      <c r="Q37" s="255"/>
      <c r="R37" s="253"/>
      <c r="S37" s="255"/>
      <c r="T37" s="176"/>
      <c r="U37" s="176"/>
    </row>
    <row r="38" spans="1:21" x14ac:dyDescent="0.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</row>
    <row r="39" spans="1:21" x14ac:dyDescent="0.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</row>
    <row r="40" spans="1:21" x14ac:dyDescent="0.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</row>
    <row r="41" spans="1:21" x14ac:dyDescent="0.2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</row>
    <row r="42" spans="1:21" x14ac:dyDescent="0.2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</row>
  </sheetData>
  <sheetProtection algorithmName="SHA-512" hashValue="ak4MIS/3oOmHozUgCYF4f5OVIh0J0+86QLhHGQIhZe2lBzB3h2THqdF83jdNuJ6gtVac2I//bwbHJ4AkGpa9Bw==" saltValue="13NRUDTAJcfQMdqDaXa++A==" spinCount="100000" sheet="1" objects="1" scenarios="1"/>
  <mergeCells count="151">
    <mergeCell ref="D22:E22"/>
    <mergeCell ref="F22:G22"/>
    <mergeCell ref="H22:I22"/>
    <mergeCell ref="J22:K22"/>
    <mergeCell ref="L22:M22"/>
    <mergeCell ref="N22:O22"/>
    <mergeCell ref="P22:Q22"/>
    <mergeCell ref="R22:S22"/>
    <mergeCell ref="D37:E37"/>
    <mergeCell ref="F37:G37"/>
    <mergeCell ref="H37:I37"/>
    <mergeCell ref="J37:K37"/>
    <mergeCell ref="L37:M37"/>
    <mergeCell ref="N37:O37"/>
    <mergeCell ref="P37:Q37"/>
    <mergeCell ref="R37:S37"/>
    <mergeCell ref="A8:S8"/>
    <mergeCell ref="D17:E17"/>
    <mergeCell ref="D21:E21"/>
    <mergeCell ref="D12:E12"/>
    <mergeCell ref="D13:E13"/>
    <mergeCell ref="D14:E14"/>
    <mergeCell ref="D15:E15"/>
    <mergeCell ref="D20:E20"/>
    <mergeCell ref="F21:G21"/>
    <mergeCell ref="H12:I12"/>
    <mergeCell ref="H13:I13"/>
    <mergeCell ref="H14:I14"/>
    <mergeCell ref="H15:I15"/>
    <mergeCell ref="H17:I17"/>
    <mergeCell ref="H20:I20"/>
    <mergeCell ref="H21:I21"/>
    <mergeCell ref="F12:G12"/>
    <mergeCell ref="F13:G13"/>
    <mergeCell ref="F14:G14"/>
    <mergeCell ref="F15:G15"/>
    <mergeCell ref="F20:G20"/>
    <mergeCell ref="A9:S9"/>
    <mergeCell ref="F17:G17"/>
    <mergeCell ref="P12:Q12"/>
    <mergeCell ref="P13:Q13"/>
    <mergeCell ref="P14:Q14"/>
    <mergeCell ref="P15:Q15"/>
    <mergeCell ref="P17:Q17"/>
    <mergeCell ref="J21:K21"/>
    <mergeCell ref="L12:M12"/>
    <mergeCell ref="L13:M13"/>
    <mergeCell ref="L14:M14"/>
    <mergeCell ref="L15:M15"/>
    <mergeCell ref="L17:M17"/>
    <mergeCell ref="L20:M20"/>
    <mergeCell ref="L21:M21"/>
    <mergeCell ref="J12:K12"/>
    <mergeCell ref="J13:K13"/>
    <mergeCell ref="J14:K14"/>
    <mergeCell ref="J15:K15"/>
    <mergeCell ref="J17:K17"/>
    <mergeCell ref="J20:K20"/>
    <mergeCell ref="R21:S21"/>
    <mergeCell ref="D11:E11"/>
    <mergeCell ref="F11:G11"/>
    <mergeCell ref="H11:I11"/>
    <mergeCell ref="J11:K11"/>
    <mergeCell ref="L11:M11"/>
    <mergeCell ref="N11:O11"/>
    <mergeCell ref="P11:Q11"/>
    <mergeCell ref="R11:S11"/>
    <mergeCell ref="R12:S12"/>
    <mergeCell ref="R13:S13"/>
    <mergeCell ref="R14:S14"/>
    <mergeCell ref="R15:S15"/>
    <mergeCell ref="R17:S17"/>
    <mergeCell ref="R20:S20"/>
    <mergeCell ref="N21:O21"/>
    <mergeCell ref="P20:Q20"/>
    <mergeCell ref="P21:Q21"/>
    <mergeCell ref="N12:O12"/>
    <mergeCell ref="N13:O13"/>
    <mergeCell ref="N14:O14"/>
    <mergeCell ref="N15:O15"/>
    <mergeCell ref="N17:O17"/>
    <mergeCell ref="N20:O20"/>
    <mergeCell ref="R36:S36"/>
    <mergeCell ref="P36:Q36"/>
    <mergeCell ref="N36:O36"/>
    <mergeCell ref="L36:M36"/>
    <mergeCell ref="R32:S32"/>
    <mergeCell ref="P32:Q32"/>
    <mergeCell ref="N32:O32"/>
    <mergeCell ref="L32:M32"/>
    <mergeCell ref="R35:S35"/>
    <mergeCell ref="P35:Q35"/>
    <mergeCell ref="N35:O35"/>
    <mergeCell ref="L35:M35"/>
    <mergeCell ref="R26:S26"/>
    <mergeCell ref="P26:Q26"/>
    <mergeCell ref="N26:O26"/>
    <mergeCell ref="L26:M26"/>
    <mergeCell ref="J26:K26"/>
    <mergeCell ref="H26:I26"/>
    <mergeCell ref="F26:G26"/>
    <mergeCell ref="D26:E26"/>
    <mergeCell ref="R28:S28"/>
    <mergeCell ref="P28:Q28"/>
    <mergeCell ref="N28:O28"/>
    <mergeCell ref="L28:M28"/>
    <mergeCell ref="J28:K28"/>
    <mergeCell ref="H28:I28"/>
    <mergeCell ref="F28:G28"/>
    <mergeCell ref="D28:E28"/>
    <mergeCell ref="R30:S30"/>
    <mergeCell ref="P30:Q30"/>
    <mergeCell ref="N30:O30"/>
    <mergeCell ref="L30:M30"/>
    <mergeCell ref="A11:B15"/>
    <mergeCell ref="A26:B30"/>
    <mergeCell ref="L10:S10"/>
    <mergeCell ref="J32:K32"/>
    <mergeCell ref="H32:I32"/>
    <mergeCell ref="F32:G32"/>
    <mergeCell ref="D32:E32"/>
    <mergeCell ref="R29:S29"/>
    <mergeCell ref="P29:Q29"/>
    <mergeCell ref="N29:O29"/>
    <mergeCell ref="L29:M29"/>
    <mergeCell ref="J29:K29"/>
    <mergeCell ref="H29:I29"/>
    <mergeCell ref="F29:G29"/>
    <mergeCell ref="D29:E29"/>
    <mergeCell ref="A18:A19"/>
    <mergeCell ref="R27:S27"/>
    <mergeCell ref="P27:Q27"/>
    <mergeCell ref="N27:O27"/>
    <mergeCell ref="L27:M27"/>
    <mergeCell ref="J27:K27"/>
    <mergeCell ref="H30:I30"/>
    <mergeCell ref="F30:G30"/>
    <mergeCell ref="D30:E30"/>
    <mergeCell ref="A33:A34"/>
    <mergeCell ref="J36:K36"/>
    <mergeCell ref="H36:I36"/>
    <mergeCell ref="F36:G36"/>
    <mergeCell ref="D36:E36"/>
    <mergeCell ref="J35:K35"/>
    <mergeCell ref="H35:I35"/>
    <mergeCell ref="F35:G35"/>
    <mergeCell ref="D35:E35"/>
    <mergeCell ref="H27:I27"/>
    <mergeCell ref="F27:G27"/>
    <mergeCell ref="D27:E27"/>
    <mergeCell ref="J30:K30"/>
  </mergeCells>
  <dataValidations count="8">
    <dataValidation type="list" allowBlank="1" showInputMessage="1" showErrorMessage="1" sqref="I18:I19 K18:K19 M18:M19 O18:O19 Q18:Q19 S18:S19 E18:E19 G18:G19 I33:I34 K33:K34 M33:M34 O33:O34 Q33:Q34 S33:S34 E33:E34 G33:G34">
      <formula1>"Normal,Near Spin,Spin,Solid Spin"</formula1>
    </dataValidation>
    <dataValidation type="decimal" allowBlank="1" showInputMessage="1" showErrorMessage="1" sqref="D18:D19 F18:F19 H18:H19 J18:J19 L18:L19 N18:N19 P18:P19 R18:R19 D33:D34 F33:F34 H33:H34 J33:J34 L33:L34 N33:N34 P33:P34 R33:R34">
      <formula1>0</formula1>
      <formula2>40</formula2>
    </dataValidation>
    <dataValidation type="whole" allowBlank="1" showInputMessage="1" showErrorMessage="1" sqref="D22:S22 D37:S37">
      <formula1>45</formula1>
      <formula2>140</formula2>
    </dataValidation>
    <dataValidation type="whole" allowBlank="1" showInputMessage="1" showErrorMessage="1" sqref="D20:S21 D35:S36">
      <formula1>0</formula1>
      <formula2>2000</formula2>
    </dataValidation>
    <dataValidation type="textLength" allowBlank="1" showInputMessage="1" showErrorMessage="1" sqref="D26:S26">
      <formula1>0</formula1>
      <formula2>40</formula2>
    </dataValidation>
    <dataValidation type="decimal" allowBlank="1" showInputMessage="1" showErrorMessage="1" sqref="D28:S28">
      <formula1>0.25</formula1>
      <formula2>2.5</formula2>
    </dataValidation>
    <dataValidation type="decimal" allowBlank="1" showInputMessage="1" showErrorMessage="1" sqref="D29:S29">
      <formula1>0</formula1>
      <formula2>20</formula2>
    </dataValidation>
    <dataValidation type="decimal" allowBlank="1" showInputMessage="1" showErrorMessage="1" sqref="D30:S30">
      <formula1>0</formula1>
      <formula2>2</formula2>
    </dataValidation>
  </dataValidations>
  <printOptions horizontalCentered="1"/>
  <pageMargins left="0.2" right="0.2" top="0.75" bottom="0.75" header="0.3" footer="0.3"/>
  <pageSetup scale="5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Q89"/>
  <sheetViews>
    <sheetView view="pageBreakPreview" topLeftCell="A17" zoomScale="85" zoomScaleNormal="90" zoomScaleSheetLayoutView="85" workbookViewId="0">
      <selection activeCell="X58" sqref="X58"/>
    </sheetView>
  </sheetViews>
  <sheetFormatPr defaultColWidth="9.140625" defaultRowHeight="14.1" customHeight="1" x14ac:dyDescent="0.2"/>
  <cols>
    <col min="1" max="41" width="2.85546875" style="51" customWidth="1"/>
    <col min="42" max="42" width="9.140625" style="51"/>
    <col min="43" max="64" width="12.85546875" style="51" customWidth="1"/>
    <col min="65" max="16384" width="9.140625" style="51"/>
  </cols>
  <sheetData>
    <row r="1" spans="1:43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3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3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3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3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3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3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3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1:43" ht="18" customHeight="1" x14ac:dyDescent="0.2">
      <c r="A9" s="284" t="s">
        <v>1655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3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3" ht="18" customHeight="1" x14ac:dyDescent="0.2">
      <c r="A11" s="75"/>
      <c r="B11" s="88" t="s">
        <v>1299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50"/>
      <c r="V11" s="50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56"/>
    </row>
    <row r="12" spans="1:43" ht="6" customHeigh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50"/>
      <c r="V12" s="50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56"/>
    </row>
    <row r="13" spans="1:43" ht="18" customHeight="1" x14ac:dyDescent="0.2">
      <c r="A13" s="75"/>
      <c r="B13" s="305" t="s">
        <v>1277</v>
      </c>
      <c r="C13" s="306"/>
      <c r="D13" s="306"/>
      <c r="E13" s="306"/>
      <c r="F13" s="306"/>
      <c r="G13" s="306"/>
      <c r="H13" s="306"/>
      <c r="I13" s="306"/>
      <c r="J13" s="307"/>
      <c r="K13" s="286" t="s">
        <v>1278</v>
      </c>
      <c r="L13" s="286"/>
      <c r="M13" s="286"/>
      <c r="N13" s="286"/>
      <c r="O13" s="286"/>
      <c r="P13" s="286"/>
      <c r="Q13" s="286"/>
      <c r="R13" s="286"/>
      <c r="S13" s="286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67"/>
      <c r="AG13" s="67"/>
      <c r="AH13" s="67"/>
      <c r="AI13" s="67"/>
      <c r="AJ13" s="67"/>
      <c r="AK13" s="67"/>
      <c r="AL13" s="67"/>
      <c r="AM13" s="67"/>
      <c r="AN13" s="67"/>
      <c r="AO13" s="56"/>
      <c r="AQ13" s="70"/>
    </row>
    <row r="14" spans="1:43" ht="18" customHeight="1" x14ac:dyDescent="0.2">
      <c r="A14" s="75"/>
      <c r="B14" s="305" t="s">
        <v>1524</v>
      </c>
      <c r="C14" s="306"/>
      <c r="D14" s="306"/>
      <c r="E14" s="306"/>
      <c r="F14" s="306"/>
      <c r="G14" s="306"/>
      <c r="H14" s="306"/>
      <c r="I14" s="306"/>
      <c r="J14" s="307"/>
      <c r="K14" s="188" t="str">
        <f>IF(K13="Portland Cement Type I","37504","")</f>
        <v>37504</v>
      </c>
      <c r="L14" s="188"/>
      <c r="M14" s="188"/>
      <c r="N14" s="188"/>
      <c r="O14" s="188"/>
      <c r="P14" s="188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67"/>
      <c r="AG14" s="67"/>
      <c r="AH14" s="67"/>
      <c r="AI14" s="67"/>
      <c r="AJ14" s="67"/>
      <c r="AK14" s="67"/>
      <c r="AL14" s="67"/>
      <c r="AM14" s="67"/>
      <c r="AN14" s="67"/>
      <c r="AO14" s="56"/>
      <c r="AQ14" s="70"/>
    </row>
    <row r="15" spans="1:43" ht="18" customHeight="1" x14ac:dyDescent="0.2">
      <c r="A15" s="75"/>
      <c r="B15" s="305" t="s">
        <v>1290</v>
      </c>
      <c r="C15" s="306"/>
      <c r="D15" s="306"/>
      <c r="E15" s="306"/>
      <c r="F15" s="306"/>
      <c r="G15" s="306"/>
      <c r="H15" s="306"/>
      <c r="I15" s="306"/>
      <c r="J15" s="307"/>
      <c r="K15" s="241" t="s">
        <v>1388</v>
      </c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3"/>
      <c r="AG15" s="67"/>
      <c r="AH15" s="67"/>
      <c r="AI15" s="67"/>
      <c r="AJ15" s="67"/>
      <c r="AK15" s="67"/>
      <c r="AL15" s="67"/>
      <c r="AM15" s="67"/>
      <c r="AN15" s="67"/>
      <c r="AO15" s="56"/>
    </row>
    <row r="16" spans="1:43" ht="18" customHeight="1" x14ac:dyDescent="0.2">
      <c r="A16" s="75"/>
      <c r="B16" s="305" t="s">
        <v>1291</v>
      </c>
      <c r="C16" s="306"/>
      <c r="D16" s="306"/>
      <c r="E16" s="306"/>
      <c r="F16" s="306"/>
      <c r="G16" s="306"/>
      <c r="H16" s="306"/>
      <c r="I16" s="306"/>
      <c r="J16" s="307"/>
      <c r="K16" s="369" t="str">
        <f>IFERROR(VLOOKUP(K15,'13-Portland Cement Suppliers'!$A$2:$B$1000,2,FALSE),"")</f>
        <v>06564-01</v>
      </c>
      <c r="L16" s="369"/>
      <c r="M16" s="369"/>
      <c r="N16" s="369"/>
      <c r="O16" s="369"/>
      <c r="P16" s="369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67"/>
      <c r="AG16" s="67"/>
      <c r="AH16" s="67"/>
      <c r="AI16" s="67"/>
      <c r="AJ16" s="67"/>
      <c r="AK16" s="67"/>
      <c r="AL16" s="67"/>
      <c r="AM16" s="67"/>
      <c r="AN16" s="67"/>
      <c r="AO16" s="56"/>
    </row>
    <row r="17" spans="1:41" ht="18" customHeight="1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67"/>
      <c r="AG17" s="67"/>
      <c r="AH17" s="67"/>
      <c r="AI17" s="67"/>
      <c r="AJ17" s="67"/>
      <c r="AK17" s="67"/>
      <c r="AL17" s="67"/>
      <c r="AM17" s="67"/>
      <c r="AN17" s="67"/>
      <c r="AO17" s="56"/>
    </row>
    <row r="18" spans="1:41" ht="18" customHeight="1" x14ac:dyDescent="0.2">
      <c r="A18" s="75"/>
      <c r="B18" s="139" t="str">
        <f>IF('JMF SHEET PG 1'!L33&gt;0,"Additive Type and Supplier Information","Additive Type and Supplier Information (Not Required)")</f>
        <v>Additive Type and Supplier Information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67"/>
      <c r="AG18" s="67"/>
      <c r="AH18" s="67"/>
      <c r="AI18" s="67"/>
      <c r="AJ18" s="67"/>
      <c r="AK18" s="67"/>
      <c r="AL18" s="67"/>
      <c r="AM18" s="67"/>
      <c r="AN18" s="67"/>
      <c r="AO18" s="56"/>
    </row>
    <row r="19" spans="1:41" ht="6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50"/>
      <c r="V19" s="50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56"/>
    </row>
    <row r="20" spans="1:41" ht="18" customHeight="1" x14ac:dyDescent="0.2">
      <c r="A20" s="75"/>
      <c r="B20" s="305" t="s">
        <v>1646</v>
      </c>
      <c r="C20" s="306"/>
      <c r="D20" s="306"/>
      <c r="E20" s="306"/>
      <c r="F20" s="306"/>
      <c r="G20" s="306"/>
      <c r="H20" s="306"/>
      <c r="I20" s="306"/>
      <c r="J20" s="307"/>
      <c r="K20" s="224" t="s">
        <v>1687</v>
      </c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75"/>
      <c r="X20" s="75"/>
      <c r="Y20" s="75"/>
      <c r="Z20" s="75"/>
      <c r="AA20" s="75"/>
      <c r="AB20" s="75"/>
      <c r="AC20" s="75"/>
      <c r="AD20" s="75"/>
      <c r="AE20" s="75"/>
      <c r="AF20" s="67"/>
      <c r="AG20" s="67"/>
      <c r="AH20" s="67"/>
      <c r="AI20" s="67"/>
      <c r="AJ20" s="67"/>
      <c r="AK20" s="67"/>
      <c r="AL20" s="67"/>
      <c r="AM20" s="67"/>
      <c r="AN20" s="67"/>
      <c r="AO20" s="56"/>
    </row>
    <row r="21" spans="1:41" ht="18" customHeight="1" x14ac:dyDescent="0.2">
      <c r="A21" s="75"/>
      <c r="B21" s="305" t="s">
        <v>1575</v>
      </c>
      <c r="C21" s="306"/>
      <c r="D21" s="306"/>
      <c r="E21" s="306"/>
      <c r="F21" s="306"/>
      <c r="G21" s="306"/>
      <c r="H21" s="306"/>
      <c r="I21" s="306"/>
      <c r="J21" s="307"/>
      <c r="K21" s="224" t="s">
        <v>1686</v>
      </c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67"/>
      <c r="AH21" s="67"/>
      <c r="AI21" s="67"/>
      <c r="AJ21" s="67"/>
      <c r="AK21" s="67"/>
      <c r="AL21" s="67"/>
      <c r="AM21" s="67"/>
      <c r="AN21" s="67"/>
      <c r="AO21" s="56"/>
    </row>
    <row r="22" spans="1:41" ht="18" customHeight="1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67"/>
      <c r="AG22" s="67"/>
      <c r="AH22" s="67"/>
      <c r="AI22" s="67"/>
      <c r="AJ22" s="67"/>
      <c r="AK22" s="67"/>
      <c r="AL22" s="67"/>
      <c r="AM22" s="67"/>
      <c r="AN22" s="67"/>
      <c r="AO22" s="56"/>
    </row>
    <row r="23" spans="1:41" ht="18" customHeight="1" x14ac:dyDescent="0.2">
      <c r="A23" s="75"/>
      <c r="B23" s="88" t="s">
        <v>1270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56"/>
    </row>
    <row r="24" spans="1:41" ht="6" customHeigh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56"/>
    </row>
    <row r="25" spans="1:41" ht="18" customHeight="1" x14ac:dyDescent="0.2">
      <c r="A25" s="75"/>
      <c r="B25" s="304" t="s">
        <v>1250</v>
      </c>
      <c r="C25" s="304"/>
      <c r="D25" s="304"/>
      <c r="E25" s="304"/>
      <c r="F25" s="304"/>
      <c r="G25" s="304"/>
      <c r="H25" s="304"/>
      <c r="I25" s="304"/>
      <c r="J25" s="286" t="s">
        <v>1251</v>
      </c>
      <c r="K25" s="286"/>
      <c r="L25" s="286"/>
      <c r="M25" s="286"/>
      <c r="N25" s="286"/>
      <c r="O25" s="286"/>
      <c r="P25" s="286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56"/>
    </row>
    <row r="26" spans="1:41" ht="18" customHeight="1" x14ac:dyDescent="0.2">
      <c r="A26" s="75"/>
      <c r="B26" s="304" t="s">
        <v>1525</v>
      </c>
      <c r="C26" s="304"/>
      <c r="D26" s="304"/>
      <c r="E26" s="304"/>
      <c r="F26" s="304"/>
      <c r="G26" s="304"/>
      <c r="H26" s="304"/>
      <c r="I26" s="304"/>
      <c r="J26" s="188" t="str">
        <f>IF(J25="CSS-1hM","104CSS1HM","")</f>
        <v>104CSS1HM</v>
      </c>
      <c r="K26" s="188"/>
      <c r="L26" s="188"/>
      <c r="M26" s="188"/>
      <c r="N26" s="188"/>
      <c r="O26" s="188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67"/>
      <c r="AF26" s="75"/>
      <c r="AG26" s="75"/>
      <c r="AH26" s="75"/>
      <c r="AI26" s="75"/>
      <c r="AJ26" s="75"/>
      <c r="AK26" s="75"/>
      <c r="AL26" s="75"/>
      <c r="AM26" s="75"/>
      <c r="AN26" s="75"/>
      <c r="AO26" s="56"/>
    </row>
    <row r="27" spans="1:41" ht="18" customHeight="1" x14ac:dyDescent="0.2">
      <c r="A27" s="75"/>
      <c r="B27" s="305" t="s">
        <v>1288</v>
      </c>
      <c r="C27" s="306"/>
      <c r="D27" s="306"/>
      <c r="E27" s="306"/>
      <c r="F27" s="306"/>
      <c r="G27" s="306"/>
      <c r="H27" s="306"/>
      <c r="I27" s="307"/>
      <c r="J27" s="241" t="s">
        <v>144</v>
      </c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3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56"/>
    </row>
    <row r="28" spans="1:41" ht="18" customHeight="1" x14ac:dyDescent="0.2">
      <c r="A28" s="75"/>
      <c r="B28" s="305" t="s">
        <v>1289</v>
      </c>
      <c r="C28" s="306"/>
      <c r="D28" s="306"/>
      <c r="E28" s="306"/>
      <c r="F28" s="306"/>
      <c r="G28" s="306"/>
      <c r="H28" s="306"/>
      <c r="I28" s="307"/>
      <c r="J28" s="368" t="str">
        <f>IFERROR(VLOOKUP(J27,'07-Binder PS Codes'!$A$2:$B$1000,2,FALSE),"")</f>
        <v>05718-01</v>
      </c>
      <c r="K28" s="368"/>
      <c r="L28" s="368"/>
      <c r="M28" s="368"/>
      <c r="N28" s="368"/>
      <c r="O28" s="368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 t="s">
        <v>1654</v>
      </c>
      <c r="AI28" s="75"/>
      <c r="AJ28" s="75"/>
      <c r="AK28" s="75"/>
      <c r="AL28" s="75"/>
      <c r="AM28" s="75"/>
      <c r="AN28" s="75"/>
      <c r="AO28" s="56"/>
    </row>
    <row r="29" spans="1:41" ht="18" customHeight="1" x14ac:dyDescent="0.2">
      <c r="A29" s="75"/>
      <c r="B29" s="305" t="s">
        <v>1573</v>
      </c>
      <c r="C29" s="306"/>
      <c r="D29" s="306"/>
      <c r="E29" s="306"/>
      <c r="F29" s="306"/>
      <c r="G29" s="306"/>
      <c r="H29" s="306"/>
      <c r="I29" s="307"/>
      <c r="J29" s="368" t="str">
        <f>IF(J25="CSS-1hM","Yes","")</f>
        <v>Yes</v>
      </c>
      <c r="K29" s="368"/>
      <c r="L29" s="368"/>
      <c r="M29" s="368"/>
      <c r="N29" s="368"/>
      <c r="O29" s="368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56"/>
    </row>
    <row r="30" spans="1:41" ht="18" customHeight="1" x14ac:dyDescent="0.2">
      <c r="A30" s="75"/>
      <c r="B30" s="366" t="s">
        <v>1306</v>
      </c>
      <c r="C30" s="366"/>
      <c r="D30" s="366"/>
      <c r="E30" s="366"/>
      <c r="F30" s="366"/>
      <c r="G30" s="366"/>
      <c r="H30" s="365" t="s">
        <v>1688</v>
      </c>
      <c r="I30" s="365"/>
      <c r="J30" s="367"/>
      <c r="K30" s="367"/>
      <c r="L30" s="367"/>
      <c r="M30" s="367"/>
      <c r="N30" s="75"/>
      <c r="O30" s="75"/>
      <c r="P30" s="75"/>
      <c r="Q30" s="75"/>
      <c r="R30" s="75"/>
      <c r="S30" s="75"/>
      <c r="T30" s="75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6"/>
    </row>
    <row r="31" spans="1:41" ht="18" customHeight="1" x14ac:dyDescent="0.2">
      <c r="A31" s="75"/>
      <c r="B31" s="304" t="s">
        <v>1307</v>
      </c>
      <c r="C31" s="304"/>
      <c r="D31" s="304"/>
      <c r="E31" s="304"/>
      <c r="F31" s="304"/>
      <c r="G31" s="304"/>
      <c r="H31" s="365">
        <v>4.5</v>
      </c>
      <c r="I31" s="365"/>
      <c r="J31" s="365"/>
      <c r="K31" s="365"/>
      <c r="L31" s="365"/>
      <c r="M31" s="365"/>
      <c r="N31" s="75"/>
      <c r="O31" s="75"/>
      <c r="P31" s="75"/>
      <c r="Q31" s="75"/>
      <c r="R31" s="75"/>
      <c r="S31" s="75"/>
      <c r="T31" s="75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6"/>
    </row>
    <row r="32" spans="1:41" ht="6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6"/>
    </row>
    <row r="33" spans="1:41" ht="18" customHeight="1" x14ac:dyDescent="0.2">
      <c r="A33" s="75"/>
      <c r="B33" s="75" t="s">
        <v>1244</v>
      </c>
      <c r="C33" s="75" t="s">
        <v>1245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56"/>
    </row>
    <row r="34" spans="1:41" ht="18" customHeight="1" x14ac:dyDescent="0.2">
      <c r="A34" s="75"/>
      <c r="B34" s="75"/>
      <c r="C34" s="75" t="s">
        <v>1246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56"/>
    </row>
    <row r="35" spans="1:41" ht="18" customHeight="1" x14ac:dyDescent="0.2">
      <c r="A35" s="75"/>
      <c r="B35" s="75"/>
      <c r="C35" s="75" t="s">
        <v>1247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6"/>
    </row>
    <row r="36" spans="1:41" ht="18" customHeigh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6"/>
    </row>
    <row r="37" spans="1:41" ht="18" customHeight="1" x14ac:dyDescent="0.2">
      <c r="A37" s="75"/>
      <c r="B37" s="101" t="s">
        <v>1211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6"/>
    </row>
    <row r="38" spans="1:41" ht="6" customHeigh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6"/>
    </row>
    <row r="39" spans="1:41" ht="18" customHeight="1" x14ac:dyDescent="0.2">
      <c r="A39" s="75"/>
      <c r="B39" s="324" t="s">
        <v>1210</v>
      </c>
      <c r="C39" s="324"/>
      <c r="D39" s="324"/>
      <c r="E39" s="324"/>
      <c r="F39" s="324"/>
      <c r="G39" s="324"/>
      <c r="H39" s="324" t="s">
        <v>1194</v>
      </c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 t="s">
        <v>172</v>
      </c>
      <c r="Z39" s="324"/>
      <c r="AA39" s="324"/>
      <c r="AB39" s="324"/>
      <c r="AC39" s="324"/>
      <c r="AD39" s="324"/>
      <c r="AE39" s="324"/>
      <c r="AF39" s="324"/>
      <c r="AG39" s="324" t="s">
        <v>1205</v>
      </c>
      <c r="AH39" s="324"/>
      <c r="AI39" s="324"/>
      <c r="AJ39" s="324"/>
      <c r="AK39" s="324" t="s">
        <v>1206</v>
      </c>
      <c r="AL39" s="324"/>
      <c r="AM39" s="324"/>
      <c r="AN39" s="324"/>
      <c r="AO39" s="56"/>
    </row>
    <row r="40" spans="1:41" ht="18" customHeight="1" x14ac:dyDescent="0.2">
      <c r="A40" s="75"/>
      <c r="B40" s="360" t="s">
        <v>1233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2"/>
      <c r="AO40" s="56"/>
    </row>
    <row r="41" spans="1:41" ht="18" customHeight="1" x14ac:dyDescent="0.2">
      <c r="A41" s="75"/>
      <c r="B41" s="315" t="s">
        <v>1216</v>
      </c>
      <c r="C41" s="315"/>
      <c r="D41" s="315"/>
      <c r="E41" s="315"/>
      <c r="F41" s="315"/>
      <c r="G41" s="315"/>
      <c r="H41" s="262" t="s">
        <v>1217</v>
      </c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315" t="s">
        <v>1212</v>
      </c>
      <c r="Z41" s="315"/>
      <c r="AA41" s="315"/>
      <c r="AB41" s="315"/>
      <c r="AC41" s="315"/>
      <c r="AD41" s="315"/>
      <c r="AE41" s="315"/>
      <c r="AF41" s="315"/>
      <c r="AG41" s="363">
        <v>26</v>
      </c>
      <c r="AH41" s="363"/>
      <c r="AI41" s="363"/>
      <c r="AJ41" s="363"/>
      <c r="AK41" s="188" t="str">
        <f>IF(AND(AG41&gt;=20,AG41&lt;=100),"Pass","Fail")</f>
        <v>Pass</v>
      </c>
      <c r="AL41" s="188"/>
      <c r="AM41" s="188"/>
      <c r="AN41" s="188"/>
      <c r="AO41" s="56"/>
    </row>
    <row r="42" spans="1:41" ht="18" customHeight="1" x14ac:dyDescent="0.2">
      <c r="A42" s="75"/>
      <c r="B42" s="315" t="s">
        <v>1216</v>
      </c>
      <c r="C42" s="315"/>
      <c r="D42" s="315"/>
      <c r="E42" s="315"/>
      <c r="F42" s="315"/>
      <c r="G42" s="315"/>
      <c r="H42" s="262" t="s">
        <v>1220</v>
      </c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315" t="s">
        <v>1523</v>
      </c>
      <c r="Z42" s="315"/>
      <c r="AA42" s="315"/>
      <c r="AB42" s="315"/>
      <c r="AC42" s="315"/>
      <c r="AD42" s="315"/>
      <c r="AE42" s="315"/>
      <c r="AF42" s="315"/>
      <c r="AG42" s="263">
        <v>0.06</v>
      </c>
      <c r="AH42" s="263"/>
      <c r="AI42" s="263"/>
      <c r="AJ42" s="263"/>
      <c r="AK42" s="188" t="str">
        <f>IF(AG42&lt;=1,"Pass","Fail")</f>
        <v>Pass</v>
      </c>
      <c r="AL42" s="188"/>
      <c r="AM42" s="188"/>
      <c r="AN42" s="188"/>
      <c r="AO42" s="56"/>
    </row>
    <row r="43" spans="1:41" ht="18" customHeight="1" x14ac:dyDescent="0.2">
      <c r="A43" s="75"/>
      <c r="B43" s="315" t="s">
        <v>1216</v>
      </c>
      <c r="C43" s="315"/>
      <c r="D43" s="315"/>
      <c r="E43" s="315"/>
      <c r="F43" s="315"/>
      <c r="G43" s="315"/>
      <c r="H43" s="262" t="s">
        <v>1218</v>
      </c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315" t="s">
        <v>1213</v>
      </c>
      <c r="Z43" s="315"/>
      <c r="AA43" s="315"/>
      <c r="AB43" s="315"/>
      <c r="AC43" s="315"/>
      <c r="AD43" s="315"/>
      <c r="AE43" s="315"/>
      <c r="AF43" s="315"/>
      <c r="AG43" s="365" t="s">
        <v>1213</v>
      </c>
      <c r="AH43" s="365"/>
      <c r="AI43" s="365"/>
      <c r="AJ43" s="365"/>
      <c r="AK43" s="188" t="str">
        <f>IF(AG43="Positive","Pass","Fail")</f>
        <v>Pass</v>
      </c>
      <c r="AL43" s="188"/>
      <c r="AM43" s="188"/>
      <c r="AN43" s="188"/>
      <c r="AO43" s="56"/>
    </row>
    <row r="44" spans="1:41" ht="18" customHeight="1" x14ac:dyDescent="0.2">
      <c r="A44" s="75"/>
      <c r="B44" s="315" t="s">
        <v>1216</v>
      </c>
      <c r="C44" s="315"/>
      <c r="D44" s="315"/>
      <c r="E44" s="315"/>
      <c r="F44" s="315"/>
      <c r="G44" s="315"/>
      <c r="H44" s="262" t="s">
        <v>1560</v>
      </c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315" t="s">
        <v>1572</v>
      </c>
      <c r="Z44" s="315"/>
      <c r="AA44" s="315"/>
      <c r="AB44" s="315"/>
      <c r="AC44" s="315"/>
      <c r="AD44" s="315"/>
      <c r="AE44" s="315"/>
      <c r="AF44" s="315"/>
      <c r="AG44" s="308">
        <v>0.01</v>
      </c>
      <c r="AH44" s="308"/>
      <c r="AI44" s="308"/>
      <c r="AJ44" s="308"/>
      <c r="AK44" s="188" t="str">
        <f>IF(AG44&lt;=0.1,"Pass","Fail")</f>
        <v>Pass</v>
      </c>
      <c r="AL44" s="188"/>
      <c r="AM44" s="188"/>
      <c r="AN44" s="188"/>
      <c r="AO44" s="56"/>
    </row>
    <row r="45" spans="1:41" ht="18" customHeight="1" x14ac:dyDescent="0.2">
      <c r="A45" s="75"/>
      <c r="B45" s="315" t="s">
        <v>1216</v>
      </c>
      <c r="C45" s="315"/>
      <c r="D45" s="315"/>
      <c r="E45" s="315"/>
      <c r="F45" s="315"/>
      <c r="G45" s="315"/>
      <c r="H45" s="262" t="s">
        <v>1219</v>
      </c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315" t="s">
        <v>1215</v>
      </c>
      <c r="Z45" s="315"/>
      <c r="AA45" s="315"/>
      <c r="AB45" s="315"/>
      <c r="AC45" s="315"/>
      <c r="AD45" s="315"/>
      <c r="AE45" s="315"/>
      <c r="AF45" s="315"/>
      <c r="AG45" s="263">
        <v>64.5</v>
      </c>
      <c r="AH45" s="263"/>
      <c r="AI45" s="263"/>
      <c r="AJ45" s="263"/>
      <c r="AK45" s="188" t="str">
        <f>IF(AG45&gt;=62,"Pass","Fail")</f>
        <v>Pass</v>
      </c>
      <c r="AL45" s="188"/>
      <c r="AM45" s="188"/>
      <c r="AN45" s="188"/>
      <c r="AO45" s="56"/>
    </row>
    <row r="46" spans="1:41" ht="18" customHeight="1" x14ac:dyDescent="0.2">
      <c r="A46" s="75"/>
      <c r="B46" s="360" t="s">
        <v>1234</v>
      </c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  <c r="AJ46" s="361"/>
      <c r="AK46" s="361"/>
      <c r="AL46" s="361"/>
      <c r="AM46" s="361"/>
      <c r="AN46" s="362"/>
      <c r="AO46" s="56"/>
    </row>
    <row r="47" spans="1:41" ht="18" customHeight="1" x14ac:dyDescent="0.2">
      <c r="A47" s="75"/>
      <c r="B47" s="315" t="s">
        <v>1221</v>
      </c>
      <c r="C47" s="315"/>
      <c r="D47" s="315"/>
      <c r="E47" s="315"/>
      <c r="F47" s="315"/>
      <c r="G47" s="315"/>
      <c r="H47" s="262" t="s">
        <v>1229</v>
      </c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315" t="s">
        <v>1214</v>
      </c>
      <c r="Z47" s="315"/>
      <c r="AA47" s="315"/>
      <c r="AB47" s="315"/>
      <c r="AC47" s="315"/>
      <c r="AD47" s="315"/>
      <c r="AE47" s="315"/>
      <c r="AF47" s="315"/>
      <c r="AG47" s="363">
        <v>56</v>
      </c>
      <c r="AH47" s="363"/>
      <c r="AI47" s="363"/>
      <c r="AJ47" s="363"/>
      <c r="AK47" s="188" t="str">
        <f>IF(AND(AG47&gt;=40,AG47&lt;=90),"Pass","Fail")</f>
        <v>Pass</v>
      </c>
      <c r="AL47" s="188"/>
      <c r="AM47" s="188"/>
      <c r="AN47" s="188"/>
      <c r="AO47" s="56"/>
    </row>
    <row r="48" spans="1:41" ht="18" customHeight="1" x14ac:dyDescent="0.2">
      <c r="A48" s="75"/>
      <c r="B48" s="315" t="s">
        <v>1222</v>
      </c>
      <c r="C48" s="315"/>
      <c r="D48" s="315"/>
      <c r="E48" s="315"/>
      <c r="F48" s="315"/>
      <c r="G48" s="315"/>
      <c r="H48" s="262" t="s">
        <v>1230</v>
      </c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364" t="s">
        <v>1226</v>
      </c>
      <c r="Z48" s="364"/>
      <c r="AA48" s="364"/>
      <c r="AB48" s="364"/>
      <c r="AC48" s="364"/>
      <c r="AD48" s="364"/>
      <c r="AE48" s="364"/>
      <c r="AF48" s="364"/>
      <c r="AG48" s="263">
        <v>86</v>
      </c>
      <c r="AH48" s="263"/>
      <c r="AI48" s="263"/>
      <c r="AJ48" s="263"/>
      <c r="AK48" s="188" t="str">
        <f>IF(AG48&gt;=40,"Pass","Fail")</f>
        <v>Pass</v>
      </c>
      <c r="AL48" s="188"/>
      <c r="AM48" s="188"/>
      <c r="AN48" s="188"/>
      <c r="AO48" s="56"/>
    </row>
    <row r="49" spans="1:41" ht="18" customHeight="1" x14ac:dyDescent="0.2">
      <c r="A49" s="75"/>
      <c r="B49" s="315" t="s">
        <v>1223</v>
      </c>
      <c r="C49" s="315"/>
      <c r="D49" s="315"/>
      <c r="E49" s="315"/>
      <c r="F49" s="315"/>
      <c r="G49" s="315"/>
      <c r="H49" s="262" t="s">
        <v>1553</v>
      </c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364" t="s">
        <v>1227</v>
      </c>
      <c r="Z49" s="364"/>
      <c r="AA49" s="364"/>
      <c r="AB49" s="364"/>
      <c r="AC49" s="364"/>
      <c r="AD49" s="364"/>
      <c r="AE49" s="364"/>
      <c r="AF49" s="364"/>
      <c r="AG49" s="263">
        <v>99.8</v>
      </c>
      <c r="AH49" s="263"/>
      <c r="AI49" s="263"/>
      <c r="AJ49" s="263"/>
      <c r="AK49" s="188" t="str">
        <f>IF(AG49&gt;=97.5,"Pass","Fail")</f>
        <v>Pass</v>
      </c>
      <c r="AL49" s="188"/>
      <c r="AM49" s="188"/>
      <c r="AN49" s="188"/>
      <c r="AO49" s="56"/>
    </row>
    <row r="50" spans="1:41" ht="18" customHeight="1" x14ac:dyDescent="0.2">
      <c r="A50" s="75"/>
      <c r="B50" s="315" t="s">
        <v>1224</v>
      </c>
      <c r="C50" s="315"/>
      <c r="D50" s="315"/>
      <c r="E50" s="315"/>
      <c r="F50" s="315"/>
      <c r="G50" s="315"/>
      <c r="H50" s="262" t="s">
        <v>1231</v>
      </c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364" t="s">
        <v>1588</v>
      </c>
      <c r="Z50" s="364"/>
      <c r="AA50" s="364"/>
      <c r="AB50" s="364"/>
      <c r="AC50" s="364"/>
      <c r="AD50" s="364"/>
      <c r="AE50" s="364"/>
      <c r="AF50" s="364"/>
      <c r="AG50" s="263">
        <v>68</v>
      </c>
      <c r="AH50" s="263"/>
      <c r="AI50" s="263"/>
      <c r="AJ50" s="263"/>
      <c r="AK50" s="188" t="str">
        <f>IF(AG50&gt;=50,"Pass","Fail")</f>
        <v>Pass</v>
      </c>
      <c r="AL50" s="188"/>
      <c r="AM50" s="188"/>
      <c r="AN50" s="188"/>
      <c r="AO50" s="56"/>
    </row>
    <row r="51" spans="1:41" ht="18" customHeight="1" x14ac:dyDescent="0.2">
      <c r="A51" s="75"/>
      <c r="B51" s="315" t="s">
        <v>1225</v>
      </c>
      <c r="C51" s="315"/>
      <c r="D51" s="315"/>
      <c r="E51" s="315"/>
      <c r="F51" s="315"/>
      <c r="G51" s="315"/>
      <c r="H51" s="262" t="s">
        <v>1232</v>
      </c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364" t="s">
        <v>1228</v>
      </c>
      <c r="Z51" s="364"/>
      <c r="AA51" s="364"/>
      <c r="AB51" s="364"/>
      <c r="AC51" s="364"/>
      <c r="AD51" s="364"/>
      <c r="AE51" s="364"/>
      <c r="AF51" s="364"/>
      <c r="AG51" s="263">
        <v>75</v>
      </c>
      <c r="AH51" s="263"/>
      <c r="AI51" s="263"/>
      <c r="AJ51" s="263"/>
      <c r="AK51" s="188" t="str">
        <f>IF(AG51&gt;=60,"Pass","Fail")</f>
        <v>Pass</v>
      </c>
      <c r="AL51" s="188"/>
      <c r="AM51" s="188"/>
      <c r="AN51" s="188"/>
      <c r="AO51" s="56"/>
    </row>
    <row r="52" spans="1:41" ht="6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6"/>
    </row>
    <row r="53" spans="1:41" ht="18" customHeight="1" x14ac:dyDescent="0.2">
      <c r="A53" s="75"/>
      <c r="B53" s="75" t="s">
        <v>1235</v>
      </c>
      <c r="C53" s="75" t="s">
        <v>1236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56"/>
    </row>
    <row r="54" spans="1:41" ht="18" customHeight="1" x14ac:dyDescent="0.2">
      <c r="A54" s="75"/>
      <c r="B54" s="75"/>
      <c r="C54" s="75" t="s">
        <v>1237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56"/>
    </row>
    <row r="55" spans="1:41" ht="18" customHeight="1" x14ac:dyDescent="0.2">
      <c r="A55" s="75"/>
      <c r="B55" s="75" t="s">
        <v>1238</v>
      </c>
      <c r="C55" s="75" t="s">
        <v>1239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56"/>
    </row>
    <row r="56" spans="1:41" ht="18" customHeight="1" x14ac:dyDescent="0.2">
      <c r="A56" s="75"/>
      <c r="B56" s="75" t="s">
        <v>1240</v>
      </c>
      <c r="C56" s="75" t="s">
        <v>1241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56"/>
    </row>
    <row r="57" spans="1:41" ht="18" customHeight="1" x14ac:dyDescent="0.2">
      <c r="A57" s="75"/>
      <c r="B57" s="75"/>
      <c r="C57" s="75" t="s">
        <v>1242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56"/>
    </row>
    <row r="58" spans="1:41" ht="18" customHeight="1" x14ac:dyDescent="0.2">
      <c r="A58" s="75"/>
      <c r="B58" s="75"/>
      <c r="C58" s="75" t="s">
        <v>1243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56"/>
    </row>
    <row r="59" spans="1:41" ht="18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56"/>
    </row>
    <row r="60" spans="1:41" ht="18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6"/>
    </row>
    <row r="61" spans="1:41" ht="18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6" t="e">
        <f>'TRANS. COV.'!AO68</f>
        <v>#REF!</v>
      </c>
    </row>
    <row r="63" spans="1:41" ht="14.1" customHeight="1" x14ac:dyDescent="0.2">
      <c r="A63" s="70" t="s">
        <v>1551</v>
      </c>
      <c r="B63" s="120"/>
    </row>
    <row r="64" spans="1:41" ht="14.1" customHeight="1" x14ac:dyDescent="0.2">
      <c r="A64" s="121"/>
      <c r="B64" s="122"/>
      <c r="C64" s="123"/>
      <c r="D64" s="134"/>
      <c r="E64" s="134"/>
      <c r="F64" s="134"/>
      <c r="G64" s="134"/>
      <c r="H64" s="134"/>
      <c r="I64" s="134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4"/>
    </row>
    <row r="65" spans="1:41" ht="14.1" customHeight="1" x14ac:dyDescent="0.2">
      <c r="A65" s="125"/>
      <c r="B65" s="126" t="str">
        <f>IF(COUNTIF(B70:B87,"*"&amp;"Error"&amp;"*")&gt;0,"Error(s) found! Please see below for details.","None")</f>
        <v>None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127"/>
    </row>
    <row r="66" spans="1:41" ht="14.1" customHeight="1" x14ac:dyDescent="0.2">
      <c r="A66" s="128"/>
      <c r="B66" s="129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1"/>
    </row>
    <row r="67" spans="1:41" ht="14.1" customHeight="1" x14ac:dyDescent="0.2">
      <c r="B67" s="120"/>
    </row>
    <row r="68" spans="1:41" ht="14.1" customHeight="1" x14ac:dyDescent="0.2">
      <c r="A68" s="70" t="s">
        <v>1552</v>
      </c>
      <c r="B68" s="120"/>
    </row>
    <row r="69" spans="1:41" ht="14.1" customHeight="1" x14ac:dyDescent="0.2">
      <c r="A69" s="121"/>
      <c r="B69" s="122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4"/>
    </row>
    <row r="70" spans="1:41" ht="14.1" customHeight="1" x14ac:dyDescent="0.2">
      <c r="A70" s="132" t="s">
        <v>158</v>
      </c>
      <c r="B70" s="72" t="str">
        <f>IF(COUNTIF(K13,"")&gt;0,"Error! Missing information for Type of Mineral Filler.","")</f>
        <v/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127"/>
    </row>
    <row r="71" spans="1:41" ht="14.1" customHeight="1" x14ac:dyDescent="0.2">
      <c r="A71" s="132" t="s">
        <v>158</v>
      </c>
      <c r="B71" s="72" t="str">
        <f>IF(COUNTIF(K15,"")&gt;0,"Error! Missing information for Mineral Filler Producer.","")</f>
        <v/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127"/>
    </row>
    <row r="72" spans="1:41" ht="14.1" customHeight="1" x14ac:dyDescent="0.2">
      <c r="A72" s="132" t="s">
        <v>158</v>
      </c>
      <c r="B72" s="72" t="str">
        <f>IF('JMF SHEET PG 1'!L33&gt;0,(IF(COUNTIF(K20,"")&gt;0,"Error! Missing information for Additive Brand Name.","")),"")</f>
        <v/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127"/>
    </row>
    <row r="73" spans="1:41" ht="14.1" customHeight="1" x14ac:dyDescent="0.2">
      <c r="A73" s="132" t="s">
        <v>158</v>
      </c>
      <c r="B73" s="72" t="str">
        <f>IF('JMF SHEET PG 1'!L33&gt;0,(IF(COUNTIF(K20,"")&gt;0,"Error! Missing information for Additive Producer.","")),"")</f>
        <v/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127"/>
    </row>
    <row r="74" spans="1:41" ht="14.1" customHeight="1" x14ac:dyDescent="0.2">
      <c r="A74" s="132" t="s">
        <v>158</v>
      </c>
      <c r="B74" s="72" t="str">
        <f>IF(COUNTIF(J25,"")&gt;0,"Error! Missing information for Asphalt Emulsion.","")</f>
        <v/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127"/>
    </row>
    <row r="75" spans="1:41" ht="14.1" customHeight="1" x14ac:dyDescent="0.2">
      <c r="A75" s="132" t="s">
        <v>158</v>
      </c>
      <c r="B75" s="72" t="str">
        <f>IF(COUNTIF(J27,"")&gt;0,"Error! Missing information for Emulsion Producer.","")</f>
        <v/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127"/>
    </row>
    <row r="76" spans="1:41" ht="14.1" customHeight="1" x14ac:dyDescent="0.2">
      <c r="A76" s="132" t="s">
        <v>158</v>
      </c>
      <c r="B76" s="72" t="str">
        <f>IF(COUNTIF(H30,"")&gt;0,"Error! Missing information for Latex Type.","")</f>
        <v/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127"/>
    </row>
    <row r="77" spans="1:41" ht="14.1" customHeight="1" x14ac:dyDescent="0.2">
      <c r="A77" s="132" t="s">
        <v>158</v>
      </c>
      <c r="B77" s="72" t="str">
        <f>IF(COUNTIF(H31,"")&gt;0,"Error! Missing information for Latex App . Rate.","")</f>
        <v/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127"/>
    </row>
    <row r="78" spans="1:41" ht="14.1" customHeight="1" x14ac:dyDescent="0.2">
      <c r="A78" s="132" t="s">
        <v>158</v>
      </c>
      <c r="B78" s="72" t="str">
        <f>IF(COUNTIF(AG41,"")&gt;0,"Error! Missing information for Viscosity, Saybolt Furol at 77°F (25°C) (SFS).",IF(COUNTIF(AG41,"*")&gt;0,"Error! Incorrect format for Viscosity, Saybolt Furol at 77°F (25°C) (SFS).",""))</f>
        <v/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127"/>
    </row>
    <row r="79" spans="1:41" ht="14.1" customHeight="1" x14ac:dyDescent="0.2">
      <c r="A79" s="132" t="s">
        <v>158</v>
      </c>
      <c r="B79" s="72" t="str">
        <f>IF(COUNTIF(AG42,"")&gt;0,"Error! Missing information for Storage Stability, 24-hr (% Difference).",IF(COUNTIF(AG42,"*")&gt;0,"Error! Incorrect format for Storage Stability, 24-hr (% Difference).",""))</f>
        <v/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127"/>
    </row>
    <row r="80" spans="1:41" ht="14.1" customHeight="1" x14ac:dyDescent="0.2">
      <c r="A80" s="132" t="s">
        <v>158</v>
      </c>
      <c r="B80" s="72" t="str">
        <f>IF(COUNTIF(AG43,"")&gt;0,"Error! Missing information for Particle Charge Test.","")</f>
        <v/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27"/>
    </row>
    <row r="81" spans="1:41" ht="14.1" customHeight="1" x14ac:dyDescent="0.2">
      <c r="A81" s="132" t="s">
        <v>158</v>
      </c>
      <c r="B81" s="72" t="str">
        <f>IF(COUNTIF(AG44,"")&gt;0,"Error! Missing information for Sieve Tests (%) (Distilled Water).",IF(COUNTIF(AG44,"*")&gt;0,"Error! Incorrect format for Sieve Tests (%) (Distilled Water).",""))</f>
        <v/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127"/>
    </row>
    <row r="82" spans="1:41" ht="14.1" customHeight="1" x14ac:dyDescent="0.2">
      <c r="A82" s="132" t="s">
        <v>158</v>
      </c>
      <c r="B82" s="72" t="str">
        <f>IF(COUNTIF(AG45,"")&gt;0,"Error! Missing information for Distillation to 177°C, Residue % Solids.",IF(COUNTIF(AG45,"*")&gt;0,"Error! Incorrect format for Distillation to 177°C, Residue % Solids.",""))</f>
        <v/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127"/>
    </row>
    <row r="83" spans="1:41" ht="14.1" customHeight="1" x14ac:dyDescent="0.2">
      <c r="A83" s="132" t="s">
        <v>158</v>
      </c>
      <c r="B83" s="72" t="str">
        <f>IF(COUNTIF(AG47,"")&gt;0,"Error! Missing information for Penetration, 25°C, 100 g, 5 sec (dmm).",IF(COUNTIF(AG47,"*")&gt;0,"Error! Incorrect format for Penetration, 25°C, 100 g, 5 sec (dmm).",""))</f>
        <v/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127"/>
    </row>
    <row r="84" spans="1:41" ht="14.1" customHeight="1" x14ac:dyDescent="0.2">
      <c r="A84" s="132" t="s">
        <v>158</v>
      </c>
      <c r="B84" s="72" t="str">
        <f>IF(COUNTIF(AG48,"")&gt;0,"Error! Missing information for Ductility, 25°C, 5 cm/min (cm).",IF(COUNTIF(AG48,"*")&gt;0,"Error! Incorrect format for Ductility, 25°C, 5 cm/min (cm).",""))</f>
        <v/>
      </c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127"/>
    </row>
    <row r="85" spans="1:41" ht="14.1" customHeight="1" x14ac:dyDescent="0.2">
      <c r="A85" s="132" t="s">
        <v>158</v>
      </c>
      <c r="B85" s="72" t="str">
        <f>IF(COUNTIF(AG49,"")&gt;0,"Error! Missing information for Solubility in Trichloroethylene (%).",IF(COUNTIF(AG49,"*")&gt;0,"Error! Incorrect format for Solubility in Trichloroethylene (%).",""))</f>
        <v/>
      </c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127"/>
    </row>
    <row r="86" spans="1:41" ht="14.1" customHeight="1" x14ac:dyDescent="0.2">
      <c r="A86" s="132" t="s">
        <v>158</v>
      </c>
      <c r="B86" s="72" t="str">
        <f>IF(COUNTIF(AG50,"")&gt;0,"Error! Missing information for Elastic Recovery, 10°C, 20 cm (%).",IF(COUNTIF(AG50,"*")&gt;0,"Error! Incorrect format for Elastic Recovery, 10°C, 20 cm (%).",""))</f>
        <v/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127"/>
    </row>
    <row r="87" spans="1:41" ht="14.1" customHeight="1" x14ac:dyDescent="0.2">
      <c r="A87" s="132" t="s">
        <v>158</v>
      </c>
      <c r="B87" s="72" t="str">
        <f>IF(COUNTIF(AG51,"")&gt;0,"Error! Missing information for Softening Point, Ring &amp; Ball (°C).",IF(COUNTIF(AG51,"*")&gt;0,"Error! Incorrect format for Softening Point, Ring &amp; Ball (°C).",""))</f>
        <v/>
      </c>
      <c r="D87" s="72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127"/>
    </row>
    <row r="88" spans="1:41" ht="14.1" customHeight="1" x14ac:dyDescent="0.2">
      <c r="A88" s="128"/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1"/>
    </row>
    <row r="89" spans="1:41" ht="14.1" customHeight="1" x14ac:dyDescent="0.2">
      <c r="A89" s="71"/>
      <c r="B89" s="72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</row>
  </sheetData>
  <sheetProtection algorithmName="SHA-512" hashValue="rpu5VI47d7kAIFfnUkoYiUh/FttfizwOZesUWL1uYDUrvh42ObKLxm8x8HUcnEpWafZcXswpjc2k3agW55yngA==" saltValue="9xDu12U6AXKq0XybLMngJA==" spinCount="100000" sheet="1" objects="1" scenarios="1"/>
  <dataConsolidate/>
  <mergeCells count="85">
    <mergeCell ref="B25:I25"/>
    <mergeCell ref="J25:P25"/>
    <mergeCell ref="B27:I27"/>
    <mergeCell ref="B28:I28"/>
    <mergeCell ref="K16:P16"/>
    <mergeCell ref="B26:I26"/>
    <mergeCell ref="J26:O26"/>
    <mergeCell ref="B20:J20"/>
    <mergeCell ref="B21:J21"/>
    <mergeCell ref="K21:AF21"/>
    <mergeCell ref="K20:V20"/>
    <mergeCell ref="B13:J13"/>
    <mergeCell ref="K13:S13"/>
    <mergeCell ref="B15:J15"/>
    <mergeCell ref="B16:J16"/>
    <mergeCell ref="K15:AF15"/>
    <mergeCell ref="B14:J14"/>
    <mergeCell ref="K14:P14"/>
    <mergeCell ref="H39:X39"/>
    <mergeCell ref="Y39:AF39"/>
    <mergeCell ref="AG39:AJ39"/>
    <mergeCell ref="J27:Y27"/>
    <mergeCell ref="J28:O28"/>
    <mergeCell ref="B29:I29"/>
    <mergeCell ref="J29:O29"/>
    <mergeCell ref="AK44:AN44"/>
    <mergeCell ref="B45:G45"/>
    <mergeCell ref="H45:X45"/>
    <mergeCell ref="Y45:AF45"/>
    <mergeCell ref="B30:G30"/>
    <mergeCell ref="H30:M30"/>
    <mergeCell ref="AK39:AN39"/>
    <mergeCell ref="B40:AN40"/>
    <mergeCell ref="B41:G41"/>
    <mergeCell ref="H41:X41"/>
    <mergeCell ref="Y41:AF41"/>
    <mergeCell ref="AG41:AJ41"/>
    <mergeCell ref="AK41:AN41"/>
    <mergeCell ref="B31:G31"/>
    <mergeCell ref="H31:M31"/>
    <mergeCell ref="B39:G39"/>
    <mergeCell ref="Y42:AF42"/>
    <mergeCell ref="AG42:AJ42"/>
    <mergeCell ref="AK42:AN42"/>
    <mergeCell ref="B43:G43"/>
    <mergeCell ref="H43:X43"/>
    <mergeCell ref="Y43:AF43"/>
    <mergeCell ref="AG43:AJ43"/>
    <mergeCell ref="AK43:AN43"/>
    <mergeCell ref="AG50:AJ50"/>
    <mergeCell ref="AK50:AN50"/>
    <mergeCell ref="B51:G51"/>
    <mergeCell ref="H51:X51"/>
    <mergeCell ref="Y51:AF51"/>
    <mergeCell ref="AG51:AJ51"/>
    <mergeCell ref="AK51:AN51"/>
    <mergeCell ref="B50:G50"/>
    <mergeCell ref="H50:X50"/>
    <mergeCell ref="Y50:AF50"/>
    <mergeCell ref="B48:G48"/>
    <mergeCell ref="H48:X48"/>
    <mergeCell ref="Y48:AF48"/>
    <mergeCell ref="AG48:AJ48"/>
    <mergeCell ref="AK48:AN48"/>
    <mergeCell ref="B49:G49"/>
    <mergeCell ref="H49:X49"/>
    <mergeCell ref="Y49:AF49"/>
    <mergeCell ref="AG49:AJ49"/>
    <mergeCell ref="AK49:AN49"/>
    <mergeCell ref="A8:AO8"/>
    <mergeCell ref="A9:AO9"/>
    <mergeCell ref="B46:AN46"/>
    <mergeCell ref="B47:G47"/>
    <mergeCell ref="H47:X47"/>
    <mergeCell ref="Y47:AF47"/>
    <mergeCell ref="AG47:AJ47"/>
    <mergeCell ref="AK47:AN47"/>
    <mergeCell ref="B44:G44"/>
    <mergeCell ref="H44:X44"/>
    <mergeCell ref="Y44:AF44"/>
    <mergeCell ref="AG44:AJ44"/>
    <mergeCell ref="AG45:AJ45"/>
    <mergeCell ref="AK45:AN45"/>
    <mergeCell ref="B42:G42"/>
    <mergeCell ref="H42:X42"/>
  </mergeCells>
  <dataValidations count="9">
    <dataValidation type="list" allowBlank="1" showInputMessage="1" showErrorMessage="1" sqref="H30:M30">
      <formula1>"Natural,Synthetic"</formula1>
    </dataValidation>
    <dataValidation type="list" allowBlank="1" showInputMessage="1" showErrorMessage="1" sqref="H31">
      <formula1>"3.0,3.1,3.2,3.3,3.4,3.5,3.6,3.7,3.8,3.9,4.0,4.1,4.2,4.3,4.4,4.5,4.6,4.7,4.8,4.9,5.0,5.1,5.2,5.3,5.4,5.5,5.6,5.7,5.8,5.9,6.0"</formula1>
    </dataValidation>
    <dataValidation type="list" allowBlank="1" showInputMessage="1" showErrorMessage="1" sqref="J25:P25">
      <formula1>"CSS-1hM"</formula1>
    </dataValidation>
    <dataValidation type="list" allowBlank="1" showInputMessage="1" showErrorMessage="1" sqref="K13">
      <formula1>"Portland Cement Type I"</formula1>
    </dataValidation>
    <dataValidation type="list" allowBlank="1" showInputMessage="1" showErrorMessage="1" sqref="AG43:AJ43">
      <formula1>"Poistive,Negative,Neutral"</formula1>
    </dataValidation>
    <dataValidation type="textLength" allowBlank="1" showInputMessage="1" showErrorMessage="1" sqref="K20:V20 K21:AF21">
      <formula1>0</formula1>
      <formula2>200</formula2>
    </dataValidation>
    <dataValidation type="whole" allowBlank="1" showInputMessage="1" showErrorMessage="1" sqref="AG41:AJ41">
      <formula1>0</formula1>
      <formula2>200</formula2>
    </dataValidation>
    <dataValidation type="decimal" allowBlank="1" showInputMessage="1" showErrorMessage="1" sqref="AG42:AJ42 AG44:AJ44 AG45:AJ45 AG48:AJ51">
      <formula1>0</formula1>
      <formula2>200</formula2>
    </dataValidation>
    <dataValidation type="whole" allowBlank="1" showInputMessage="1" showErrorMessage="1" sqref="AG47:AJ47">
      <formula1>0</formula1>
      <formula2>400</formula2>
    </dataValidation>
  </dataValidations>
  <printOptions horizontalCentered="1"/>
  <pageMargins left="0.5" right="0.5" top="0.5" bottom="0.5" header="0.5" footer="0.5"/>
  <pageSetup scale="71" fitToWidth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'13-Portland Cement Suppliers'!$A$2:$A$1000</xm:f>
          </x14:formula1>
          <xm:sqref>K15</xm:sqref>
        </x14:dataValidation>
        <x14:dataValidation type="list" allowBlank="1" showInputMessage="1" showErrorMessage="1">
          <x14:formula1>
            <xm:f>'07-Binder PS Codes'!$A$2:$A$1000</xm:f>
          </x14:formula1>
          <xm:sqref>J27:Y27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Q145"/>
  <sheetViews>
    <sheetView zoomScaleNormal="100" zoomScaleSheetLayoutView="80" workbookViewId="0">
      <selection activeCell="I19" sqref="I19:AE19"/>
    </sheetView>
  </sheetViews>
  <sheetFormatPr defaultColWidth="9.140625" defaultRowHeight="14.1" customHeight="1" x14ac:dyDescent="0.2"/>
  <cols>
    <col min="1" max="41" width="2.85546875" style="51" customWidth="1"/>
    <col min="42" max="42" width="9.140625" style="51"/>
    <col min="43" max="46" width="12.85546875" style="51" customWidth="1"/>
    <col min="47" max="50" width="16.85546875" style="51" customWidth="1"/>
    <col min="51" max="69" width="12.85546875" style="51" customWidth="1"/>
    <col min="70" max="16384" width="9.140625" style="51"/>
  </cols>
  <sheetData>
    <row r="1" spans="1:41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1:41" ht="18" customHeight="1" x14ac:dyDescent="0.2">
      <c r="A9" s="284" t="s">
        <v>1656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1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8" customHeight="1" x14ac:dyDescent="0.2">
      <c r="A11" s="75"/>
      <c r="B11" s="88" t="s">
        <v>1271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6"/>
    </row>
    <row r="12" spans="1:41" ht="6" customHeigh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6"/>
    </row>
    <row r="13" spans="1:41" ht="18" customHeight="1" x14ac:dyDescent="0.2">
      <c r="A13" s="75"/>
      <c r="B13" s="101" t="s">
        <v>1327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6"/>
    </row>
    <row r="14" spans="1:41" ht="8.1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6"/>
    </row>
    <row r="15" spans="1:41" ht="18" customHeight="1" x14ac:dyDescent="0.2">
      <c r="A15" s="75"/>
      <c r="B15" s="277" t="s">
        <v>1254</v>
      </c>
      <c r="C15" s="278"/>
      <c r="D15" s="278"/>
      <c r="E15" s="278"/>
      <c r="F15" s="278"/>
      <c r="G15" s="279"/>
      <c r="H15" s="312">
        <v>50</v>
      </c>
      <c r="I15" s="313"/>
      <c r="J15" s="313"/>
      <c r="K15" s="313"/>
      <c r="L15" s="314"/>
      <c r="M15" s="75"/>
      <c r="N15" s="75"/>
      <c r="O15" s="75"/>
      <c r="P15" s="75"/>
      <c r="Q15" s="75"/>
      <c r="R15" s="75"/>
      <c r="S15" s="75"/>
      <c r="T15" s="75"/>
      <c r="U15" s="50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56"/>
    </row>
    <row r="16" spans="1:41" ht="18" customHeight="1" x14ac:dyDescent="0.2">
      <c r="A16" s="75"/>
      <c r="B16" s="277" t="s">
        <v>1256</v>
      </c>
      <c r="C16" s="278"/>
      <c r="D16" s="278"/>
      <c r="E16" s="278"/>
      <c r="F16" s="278"/>
      <c r="G16" s="279"/>
      <c r="H16" s="396" t="s">
        <v>1295</v>
      </c>
      <c r="I16" s="397"/>
      <c r="J16" s="397"/>
      <c r="K16" s="397"/>
      <c r="L16" s="397"/>
      <c r="M16" s="398"/>
      <c r="N16" s="75"/>
      <c r="O16" s="75"/>
      <c r="P16" s="75"/>
      <c r="Q16" s="75"/>
      <c r="R16" s="75"/>
      <c r="S16" s="75"/>
      <c r="T16" s="75"/>
      <c r="U16" s="50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56"/>
    </row>
    <row r="17" spans="1:43" ht="18" customHeight="1" x14ac:dyDescent="0.2">
      <c r="A17" s="75"/>
      <c r="B17" s="271" t="s">
        <v>1255</v>
      </c>
      <c r="C17" s="272"/>
      <c r="D17" s="272"/>
      <c r="E17" s="272"/>
      <c r="F17" s="272"/>
      <c r="G17" s="273"/>
      <c r="H17" s="399" t="s">
        <v>161</v>
      </c>
      <c r="I17" s="399"/>
      <c r="J17" s="399"/>
      <c r="K17" s="399"/>
      <c r="L17" s="399"/>
      <c r="M17" s="399"/>
      <c r="N17" s="399"/>
      <c r="O17" s="75"/>
      <c r="P17" s="75"/>
      <c r="Q17" s="75"/>
      <c r="R17" s="75"/>
      <c r="S17" s="75"/>
      <c r="T17" s="75"/>
      <c r="U17" s="50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56"/>
    </row>
    <row r="18" spans="1:43" ht="18" customHeight="1" x14ac:dyDescent="0.2">
      <c r="A18" s="75"/>
      <c r="B18" s="315" t="s">
        <v>1554</v>
      </c>
      <c r="C18" s="315"/>
      <c r="D18" s="315"/>
      <c r="E18" s="315"/>
      <c r="F18" s="315"/>
      <c r="G18" s="315"/>
      <c r="H18" s="315"/>
      <c r="I18" s="400" t="str">
        <f>IF(H16="","",IF(H16="421-A","075RAL","075RBL"))</f>
        <v>075RAL</v>
      </c>
      <c r="J18" s="400"/>
      <c r="K18" s="400"/>
      <c r="L18" s="400"/>
      <c r="M18" s="400"/>
      <c r="N18" s="75"/>
      <c r="O18" s="75"/>
      <c r="P18" s="75"/>
      <c r="Q18" s="75"/>
      <c r="R18" s="75"/>
      <c r="S18" s="75"/>
      <c r="T18" s="75"/>
      <c r="U18" s="50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56"/>
      <c r="AQ18" s="51" t="s">
        <v>1558</v>
      </c>
    </row>
    <row r="19" spans="1:43" ht="18" customHeight="1" x14ac:dyDescent="0.2">
      <c r="A19" s="75"/>
      <c r="B19" s="277" t="s">
        <v>1257</v>
      </c>
      <c r="C19" s="278"/>
      <c r="D19" s="278"/>
      <c r="E19" s="278"/>
      <c r="F19" s="278"/>
      <c r="G19" s="278"/>
      <c r="H19" s="279"/>
      <c r="I19" s="399" t="s">
        <v>523</v>
      </c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75"/>
      <c r="AG19" s="75"/>
      <c r="AH19" s="75"/>
      <c r="AI19" s="75"/>
      <c r="AJ19" s="75"/>
      <c r="AK19" s="75"/>
      <c r="AL19" s="75"/>
      <c r="AM19" s="75"/>
      <c r="AN19" s="75"/>
      <c r="AO19" s="56"/>
      <c r="AQ19" s="135" t="s">
        <v>1559</v>
      </c>
    </row>
    <row r="20" spans="1:43" ht="18" customHeight="1" x14ac:dyDescent="0.2">
      <c r="A20" s="75"/>
      <c r="B20" s="277" t="s">
        <v>1258</v>
      </c>
      <c r="C20" s="278"/>
      <c r="D20" s="278"/>
      <c r="E20" s="278"/>
      <c r="F20" s="278"/>
      <c r="G20" s="278"/>
      <c r="H20" s="279"/>
      <c r="I20" s="253">
        <v>100</v>
      </c>
      <c r="J20" s="254"/>
      <c r="K20" s="254"/>
      <c r="L20" s="254"/>
      <c r="M20" s="255"/>
      <c r="N20" s="75"/>
      <c r="O20" s="75"/>
      <c r="P20" s="75"/>
      <c r="Q20" s="75"/>
      <c r="R20" s="75"/>
      <c r="S20" s="75"/>
      <c r="T20" s="75"/>
      <c r="U20" s="50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56"/>
    </row>
    <row r="21" spans="1:43" ht="18" customHeight="1" x14ac:dyDescent="0.2">
      <c r="A21" s="75"/>
      <c r="B21" s="277" t="s">
        <v>1259</v>
      </c>
      <c r="C21" s="278"/>
      <c r="D21" s="278"/>
      <c r="E21" s="278"/>
      <c r="F21" s="278"/>
      <c r="G21" s="278"/>
      <c r="H21" s="278"/>
      <c r="I21" s="278"/>
      <c r="J21" s="279"/>
      <c r="K21" s="253">
        <v>75</v>
      </c>
      <c r="L21" s="254"/>
      <c r="M21" s="254"/>
      <c r="N21" s="254"/>
      <c r="O21" s="255"/>
      <c r="P21" s="75"/>
      <c r="Q21" s="75"/>
      <c r="R21" s="75"/>
      <c r="S21" s="75"/>
      <c r="T21" s="75"/>
      <c r="U21" s="50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56"/>
    </row>
    <row r="22" spans="1:43" ht="18" customHeight="1" x14ac:dyDescent="0.2">
      <c r="A22" s="75"/>
      <c r="B22" s="277" t="s">
        <v>1328</v>
      </c>
      <c r="C22" s="278"/>
      <c r="D22" s="278"/>
      <c r="E22" s="278"/>
      <c r="F22" s="278"/>
      <c r="G22" s="278"/>
      <c r="H22" s="278"/>
      <c r="I22" s="278"/>
      <c r="J22" s="279"/>
      <c r="K22" s="253">
        <v>15</v>
      </c>
      <c r="L22" s="254"/>
      <c r="M22" s="254"/>
      <c r="N22" s="254"/>
      <c r="O22" s="255"/>
      <c r="P22" s="75"/>
      <c r="Q22" s="75"/>
      <c r="R22" s="75"/>
      <c r="S22" s="75"/>
      <c r="T22" s="75"/>
      <c r="U22" s="50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56"/>
    </row>
    <row r="23" spans="1:43" ht="18" customHeight="1" x14ac:dyDescent="0.2">
      <c r="A23" s="75"/>
      <c r="B23" s="277" t="s">
        <v>1329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9"/>
      <c r="P23" s="253">
        <v>6.8</v>
      </c>
      <c r="Q23" s="254"/>
      <c r="R23" s="254"/>
      <c r="S23" s="254"/>
      <c r="T23" s="255"/>
      <c r="U23" s="50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56"/>
    </row>
    <row r="24" spans="1:43" ht="18" customHeigh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50"/>
      <c r="V24" s="50"/>
      <c r="W24" s="50"/>
      <c r="X24" s="50"/>
      <c r="Y24" s="50"/>
      <c r="Z24" s="50"/>
      <c r="AA24" s="75"/>
      <c r="AB24" s="75"/>
      <c r="AC24" s="75"/>
      <c r="AD24" s="75"/>
      <c r="AE24" s="75"/>
      <c r="AF24" s="75"/>
      <c r="AG24" s="75"/>
      <c r="AH24" s="50"/>
      <c r="AI24" s="50"/>
      <c r="AJ24" s="50"/>
      <c r="AK24" s="50"/>
      <c r="AL24" s="50"/>
      <c r="AM24" s="50"/>
      <c r="AN24" s="50"/>
      <c r="AO24" s="56"/>
    </row>
    <row r="25" spans="1:43" ht="18" customHeight="1" x14ac:dyDescent="0.2">
      <c r="A25" s="75"/>
      <c r="B25" s="101" t="s">
        <v>1330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01" t="s">
        <v>1541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75"/>
      <c r="AB25" s="75"/>
      <c r="AC25" s="75"/>
      <c r="AD25" s="75"/>
      <c r="AE25" s="75"/>
      <c r="AF25" s="75"/>
      <c r="AG25" s="75"/>
      <c r="AH25" s="50"/>
      <c r="AI25" s="50"/>
      <c r="AJ25" s="50"/>
      <c r="AK25" s="50"/>
      <c r="AL25" s="50"/>
      <c r="AM25" s="50"/>
      <c r="AN25" s="50"/>
      <c r="AO25" s="56"/>
    </row>
    <row r="26" spans="1:43" ht="8.1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50"/>
      <c r="AK26" s="50"/>
      <c r="AL26" s="50"/>
      <c r="AM26" s="50"/>
      <c r="AN26" s="50"/>
      <c r="AO26" s="56"/>
    </row>
    <row r="27" spans="1:43" ht="18" customHeight="1" thickBot="1" x14ac:dyDescent="0.25">
      <c r="A27" s="75"/>
      <c r="B27" s="380" t="s">
        <v>10</v>
      </c>
      <c r="C27" s="381"/>
      <c r="D27" s="381"/>
      <c r="E27" s="381"/>
      <c r="F27" s="382" t="s">
        <v>1268</v>
      </c>
      <c r="G27" s="383"/>
      <c r="H27" s="383"/>
      <c r="I27" s="384"/>
      <c r="J27" s="75"/>
      <c r="K27" s="75"/>
      <c r="L27" s="75"/>
      <c r="M27" s="75"/>
      <c r="N27" s="104" t="s">
        <v>1526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50"/>
      <c r="AN27" s="50"/>
      <c r="AO27" s="56"/>
    </row>
    <row r="28" spans="1:43" ht="18" customHeight="1" thickTop="1" x14ac:dyDescent="0.2">
      <c r="A28" s="75"/>
      <c r="B28" s="374" t="s">
        <v>16</v>
      </c>
      <c r="C28" s="375"/>
      <c r="D28" s="375"/>
      <c r="E28" s="375"/>
      <c r="F28" s="385">
        <v>100</v>
      </c>
      <c r="G28" s="386"/>
      <c r="H28" s="386"/>
      <c r="I28" s="387"/>
      <c r="J28" s="75"/>
      <c r="K28" s="75"/>
      <c r="L28" s="75"/>
      <c r="M28" s="75"/>
      <c r="N28" s="105" t="s">
        <v>1527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 t="s">
        <v>1190</v>
      </c>
      <c r="AA28" s="75"/>
      <c r="AB28" s="388">
        <v>891.5</v>
      </c>
      <c r="AC28" s="389"/>
      <c r="AD28" s="389"/>
      <c r="AE28" s="390"/>
      <c r="AF28" s="75"/>
      <c r="AG28" s="75" t="s">
        <v>1332</v>
      </c>
      <c r="AH28" s="75"/>
      <c r="AI28" s="75"/>
      <c r="AJ28" s="75"/>
      <c r="AK28" s="75"/>
      <c r="AL28" s="75"/>
      <c r="AM28" s="50"/>
      <c r="AN28" s="50"/>
      <c r="AO28" s="56"/>
    </row>
    <row r="29" spans="1:43" ht="18" customHeight="1" x14ac:dyDescent="0.2">
      <c r="A29" s="75"/>
      <c r="B29" s="374" t="s">
        <v>17</v>
      </c>
      <c r="C29" s="375"/>
      <c r="D29" s="375"/>
      <c r="E29" s="375"/>
      <c r="F29" s="385">
        <v>94</v>
      </c>
      <c r="G29" s="386"/>
      <c r="H29" s="386"/>
      <c r="I29" s="387"/>
      <c r="J29" s="75"/>
      <c r="K29" s="75"/>
      <c r="L29" s="75"/>
      <c r="M29" s="75"/>
      <c r="N29" s="105" t="s">
        <v>1528</v>
      </c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 t="s">
        <v>1190</v>
      </c>
      <c r="AA29" s="75"/>
      <c r="AB29" s="388">
        <v>1891.5</v>
      </c>
      <c r="AC29" s="389"/>
      <c r="AD29" s="389"/>
      <c r="AE29" s="390"/>
      <c r="AF29" s="75"/>
      <c r="AG29" s="75" t="s">
        <v>1332</v>
      </c>
      <c r="AH29" s="75"/>
      <c r="AI29" s="75"/>
      <c r="AJ29" s="75"/>
      <c r="AK29" s="75"/>
      <c r="AL29" s="75"/>
      <c r="AM29" s="50"/>
      <c r="AN29" s="50"/>
      <c r="AO29" s="56"/>
    </row>
    <row r="30" spans="1:43" ht="18" customHeight="1" x14ac:dyDescent="0.2">
      <c r="A30" s="75"/>
      <c r="B30" s="374" t="s">
        <v>18</v>
      </c>
      <c r="C30" s="375"/>
      <c r="D30" s="375"/>
      <c r="E30" s="375"/>
      <c r="F30" s="385">
        <v>76</v>
      </c>
      <c r="G30" s="386"/>
      <c r="H30" s="386"/>
      <c r="I30" s="387"/>
      <c r="J30" s="75"/>
      <c r="K30" s="75"/>
      <c r="L30" s="75"/>
      <c r="M30" s="75"/>
      <c r="N30" s="105" t="s">
        <v>1530</v>
      </c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 t="s">
        <v>1190</v>
      </c>
      <c r="AA30" s="75"/>
      <c r="AB30" s="391">
        <f>IF(AND(AB28&gt;0,AB29&gt;0),AB29-AB28,"")</f>
        <v>1000</v>
      </c>
      <c r="AC30" s="392"/>
      <c r="AD30" s="392"/>
      <c r="AE30" s="393"/>
      <c r="AF30" s="75"/>
      <c r="AG30" s="75" t="s">
        <v>1332</v>
      </c>
      <c r="AH30" s="75"/>
      <c r="AI30" s="75"/>
      <c r="AJ30" s="75"/>
      <c r="AK30" s="75"/>
      <c r="AL30" s="75"/>
      <c r="AM30" s="50"/>
      <c r="AN30" s="50"/>
      <c r="AO30" s="56"/>
    </row>
    <row r="31" spans="1:43" ht="18" customHeight="1" x14ac:dyDescent="0.2">
      <c r="A31" s="75"/>
      <c r="B31" s="374" t="s">
        <v>19</v>
      </c>
      <c r="C31" s="375"/>
      <c r="D31" s="375"/>
      <c r="E31" s="375"/>
      <c r="F31" s="385">
        <v>52</v>
      </c>
      <c r="G31" s="386"/>
      <c r="H31" s="386"/>
      <c r="I31" s="387"/>
      <c r="J31" s="75"/>
      <c r="K31" s="75"/>
      <c r="L31" s="75"/>
      <c r="M31" s="75"/>
      <c r="N31" s="105" t="s">
        <v>1529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 t="s">
        <v>1190</v>
      </c>
      <c r="AA31" s="75"/>
      <c r="AB31" s="388">
        <v>1850.6</v>
      </c>
      <c r="AC31" s="389"/>
      <c r="AD31" s="389"/>
      <c r="AE31" s="390"/>
      <c r="AF31" s="75"/>
      <c r="AG31" s="75" t="s">
        <v>1332</v>
      </c>
      <c r="AH31" s="75"/>
      <c r="AI31" s="75"/>
      <c r="AJ31" s="75"/>
      <c r="AK31" s="75"/>
      <c r="AL31" s="75"/>
      <c r="AM31" s="50"/>
      <c r="AN31" s="50"/>
      <c r="AO31" s="56"/>
    </row>
    <row r="32" spans="1:43" ht="18" customHeight="1" x14ac:dyDescent="0.2">
      <c r="A32" s="75"/>
      <c r="B32" s="374" t="s">
        <v>20</v>
      </c>
      <c r="C32" s="375"/>
      <c r="D32" s="375"/>
      <c r="E32" s="375"/>
      <c r="F32" s="385">
        <v>34</v>
      </c>
      <c r="G32" s="386"/>
      <c r="H32" s="386"/>
      <c r="I32" s="387"/>
      <c r="J32" s="75"/>
      <c r="K32" s="75"/>
      <c r="L32" s="75"/>
      <c r="M32" s="75"/>
      <c r="N32" s="105" t="s">
        <v>1531</v>
      </c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 t="s">
        <v>1190</v>
      </c>
      <c r="AA32" s="75"/>
      <c r="AB32" s="391">
        <f>IF(AND(AB28&gt;0,AB31&gt;0),AB31-AB28,"")</f>
        <v>959.09999999999991</v>
      </c>
      <c r="AC32" s="392"/>
      <c r="AD32" s="392"/>
      <c r="AE32" s="393"/>
      <c r="AF32" s="75"/>
      <c r="AG32" s="75" t="s">
        <v>1332</v>
      </c>
      <c r="AH32" s="75"/>
      <c r="AI32" s="75"/>
      <c r="AJ32" s="75"/>
      <c r="AK32" s="75"/>
      <c r="AL32" s="75"/>
      <c r="AM32" s="50"/>
      <c r="AN32" s="50"/>
      <c r="AO32" s="56"/>
    </row>
    <row r="33" spans="1:41" ht="18" customHeight="1" x14ac:dyDescent="0.2">
      <c r="A33" s="75"/>
      <c r="B33" s="374" t="s">
        <v>21</v>
      </c>
      <c r="C33" s="375"/>
      <c r="D33" s="375"/>
      <c r="E33" s="375"/>
      <c r="F33" s="385">
        <v>22</v>
      </c>
      <c r="G33" s="386"/>
      <c r="H33" s="386"/>
      <c r="I33" s="387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50"/>
      <c r="AN33" s="50"/>
      <c r="AO33" s="56"/>
    </row>
    <row r="34" spans="1:41" ht="18" customHeight="1" x14ac:dyDescent="0.2">
      <c r="A34" s="75"/>
      <c r="B34" s="374" t="s">
        <v>22</v>
      </c>
      <c r="C34" s="375"/>
      <c r="D34" s="375"/>
      <c r="E34" s="375"/>
      <c r="F34" s="385">
        <v>14</v>
      </c>
      <c r="G34" s="386"/>
      <c r="H34" s="386"/>
      <c r="I34" s="387"/>
      <c r="J34" s="75"/>
      <c r="K34" s="75"/>
      <c r="L34" s="75"/>
      <c r="M34" s="75"/>
      <c r="N34" s="75" t="s">
        <v>1279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 t="s">
        <v>1190</v>
      </c>
      <c r="AA34" s="75"/>
      <c r="AB34" s="391">
        <f>IFERROR(ROUND((AB30-AB32)/AB32*100,1),"")</f>
        <v>4.3</v>
      </c>
      <c r="AC34" s="392"/>
      <c r="AD34" s="392"/>
      <c r="AE34" s="393"/>
      <c r="AF34" s="75"/>
      <c r="AG34" s="75" t="s">
        <v>1532</v>
      </c>
      <c r="AH34" s="75"/>
      <c r="AI34" s="75"/>
      <c r="AJ34" s="75"/>
      <c r="AK34" s="75"/>
      <c r="AL34" s="75"/>
      <c r="AM34" s="50"/>
      <c r="AN34" s="50"/>
      <c r="AO34" s="56"/>
    </row>
    <row r="35" spans="1:41" ht="18" customHeight="1" x14ac:dyDescent="0.2">
      <c r="A35" s="75"/>
      <c r="B35" s="394" t="s">
        <v>32</v>
      </c>
      <c r="C35" s="395"/>
      <c r="D35" s="395"/>
      <c r="E35" s="395"/>
      <c r="F35" s="388">
        <v>8</v>
      </c>
      <c r="G35" s="389"/>
      <c r="H35" s="389"/>
      <c r="I35" s="390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50"/>
      <c r="AN35" s="50"/>
      <c r="AO35" s="56"/>
    </row>
    <row r="36" spans="1:41" ht="18" customHeigh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104" t="s">
        <v>1331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50"/>
      <c r="AK36" s="50"/>
      <c r="AL36" s="50"/>
      <c r="AM36" s="50"/>
      <c r="AN36" s="50"/>
      <c r="AO36" s="56"/>
    </row>
    <row r="37" spans="1:41" ht="18" customHeigh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105" t="s">
        <v>1534</v>
      </c>
      <c r="O37" s="75"/>
      <c r="P37" s="75"/>
      <c r="Q37" s="75"/>
      <c r="R37" s="75"/>
      <c r="S37" s="75"/>
      <c r="T37" s="75"/>
      <c r="U37" s="75"/>
      <c r="V37" s="75" t="s">
        <v>1190</v>
      </c>
      <c r="W37" s="75"/>
      <c r="X37" s="391">
        <f>AB32</f>
        <v>959.09999999999991</v>
      </c>
      <c r="Y37" s="392"/>
      <c r="Z37" s="392"/>
      <c r="AA37" s="393"/>
      <c r="AB37" s="75"/>
      <c r="AC37" s="75" t="s">
        <v>1332</v>
      </c>
      <c r="AD37" s="115"/>
      <c r="AE37" s="115" t="s">
        <v>1533</v>
      </c>
      <c r="AF37" s="75"/>
      <c r="AG37" s="75"/>
      <c r="AH37" s="75"/>
      <c r="AI37" s="75"/>
      <c r="AJ37" s="50"/>
      <c r="AK37" s="50"/>
      <c r="AL37" s="50"/>
      <c r="AM37" s="50"/>
      <c r="AN37" s="50"/>
      <c r="AO37" s="56"/>
    </row>
    <row r="38" spans="1:41" ht="18" customHeigh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105" t="s">
        <v>1535</v>
      </c>
      <c r="O38" s="75"/>
      <c r="P38" s="75"/>
      <c r="Q38" s="75"/>
      <c r="R38" s="75"/>
      <c r="S38" s="75"/>
      <c r="T38" s="75"/>
      <c r="U38" s="75"/>
      <c r="V38" s="75" t="s">
        <v>1190</v>
      </c>
      <c r="W38" s="75"/>
      <c r="X38" s="388">
        <v>901</v>
      </c>
      <c r="Y38" s="389"/>
      <c r="Z38" s="389"/>
      <c r="AA38" s="390"/>
      <c r="AB38" s="75"/>
      <c r="AC38" s="75" t="s">
        <v>1332</v>
      </c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50"/>
      <c r="AO38" s="56"/>
    </row>
    <row r="39" spans="1:41" ht="18" customHeigh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50"/>
      <c r="AO39" s="56"/>
    </row>
    <row r="40" spans="1:41" ht="18" customHeigh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104" t="s">
        <v>1333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50"/>
      <c r="AK40" s="50"/>
      <c r="AL40" s="50"/>
      <c r="AM40" s="50"/>
      <c r="AN40" s="50"/>
      <c r="AO40" s="56"/>
    </row>
    <row r="41" spans="1:41" ht="18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105" t="s">
        <v>1536</v>
      </c>
      <c r="O41" s="75"/>
      <c r="P41" s="75"/>
      <c r="Q41" s="75"/>
      <c r="R41" s="75"/>
      <c r="S41" s="75"/>
      <c r="T41" s="75"/>
      <c r="U41" s="75"/>
      <c r="V41" s="75" t="s">
        <v>1190</v>
      </c>
      <c r="W41" s="75"/>
      <c r="X41" s="403">
        <f>IF(X38&gt;0,X38,"")</f>
        <v>901</v>
      </c>
      <c r="Y41" s="404"/>
      <c r="Z41" s="404"/>
      <c r="AA41" s="405"/>
      <c r="AB41" s="106"/>
      <c r="AC41" s="75" t="s">
        <v>1332</v>
      </c>
      <c r="AD41" s="115"/>
      <c r="AE41" s="115" t="s">
        <v>1540</v>
      </c>
      <c r="AF41" s="75"/>
      <c r="AG41" s="75"/>
      <c r="AH41" s="75"/>
      <c r="AI41" s="75"/>
      <c r="AJ41" s="50"/>
      <c r="AK41" s="50"/>
      <c r="AL41" s="50"/>
      <c r="AM41" s="50"/>
      <c r="AN41" s="50"/>
      <c r="AO41" s="56"/>
    </row>
    <row r="42" spans="1:41" ht="12" customHeigh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50"/>
      <c r="AK42" s="50"/>
      <c r="AL42" s="50"/>
      <c r="AM42" s="50"/>
      <c r="AN42" s="50"/>
      <c r="AO42" s="56"/>
    </row>
    <row r="43" spans="1:41" ht="18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225" t="s">
        <v>10</v>
      </c>
      <c r="O43" s="225"/>
      <c r="P43" s="225"/>
      <c r="Q43" s="225"/>
      <c r="R43" s="372" t="s">
        <v>1538</v>
      </c>
      <c r="S43" s="372"/>
      <c r="T43" s="372"/>
      <c r="U43" s="372"/>
      <c r="V43" s="372" t="s">
        <v>1537</v>
      </c>
      <c r="W43" s="372"/>
      <c r="X43" s="372"/>
      <c r="Y43" s="372"/>
      <c r="Z43" s="372" t="s">
        <v>1539</v>
      </c>
      <c r="AA43" s="372"/>
      <c r="AB43" s="372"/>
      <c r="AC43" s="372"/>
      <c r="AD43" s="372" t="s">
        <v>1268</v>
      </c>
      <c r="AE43" s="372"/>
      <c r="AF43" s="372"/>
      <c r="AG43" s="372"/>
      <c r="AH43" s="50"/>
      <c r="AI43" s="50"/>
      <c r="AJ43" s="50"/>
      <c r="AK43" s="50"/>
      <c r="AL43" s="50"/>
      <c r="AM43" s="50"/>
      <c r="AN43" s="50"/>
      <c r="AO43" s="56"/>
    </row>
    <row r="44" spans="1:41" ht="18" customHeight="1" thickBo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371"/>
      <c r="O44" s="371"/>
      <c r="P44" s="371"/>
      <c r="Q44" s="371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50"/>
      <c r="AI44" s="50"/>
      <c r="AJ44" s="50"/>
      <c r="AK44" s="50"/>
      <c r="AL44" s="50"/>
      <c r="AM44" s="50"/>
      <c r="AN44" s="50"/>
      <c r="AO44" s="56"/>
    </row>
    <row r="45" spans="1:41" ht="18" customHeight="1" thickTop="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401" t="s">
        <v>16</v>
      </c>
      <c r="O45" s="402"/>
      <c r="P45" s="402"/>
      <c r="Q45" s="402"/>
      <c r="R45" s="376">
        <v>1002.4</v>
      </c>
      <c r="S45" s="376"/>
      <c r="T45" s="376"/>
      <c r="U45" s="376"/>
      <c r="V45" s="376">
        <v>1002.4</v>
      </c>
      <c r="W45" s="376"/>
      <c r="X45" s="376"/>
      <c r="Y45" s="376"/>
      <c r="Z45" s="406">
        <f>IF(R45&gt;0,R45-V45,"")</f>
        <v>0</v>
      </c>
      <c r="AA45" s="406"/>
      <c r="AB45" s="406"/>
      <c r="AC45" s="406"/>
      <c r="AD45" s="377">
        <f>IFERROR(IF(Z45=0,100,(100-(((Z45)/X37)*100))),"")</f>
        <v>100</v>
      </c>
      <c r="AE45" s="377"/>
      <c r="AF45" s="377"/>
      <c r="AG45" s="377"/>
      <c r="AH45" s="50"/>
      <c r="AI45" s="50"/>
      <c r="AJ45" s="50"/>
      <c r="AK45" s="50"/>
      <c r="AL45" s="50"/>
      <c r="AM45" s="50"/>
      <c r="AN45" s="50"/>
      <c r="AO45" s="56"/>
    </row>
    <row r="46" spans="1:41" ht="18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374" t="s">
        <v>17</v>
      </c>
      <c r="O46" s="375"/>
      <c r="P46" s="375"/>
      <c r="Q46" s="375"/>
      <c r="R46" s="263">
        <v>1008.9</v>
      </c>
      <c r="S46" s="263"/>
      <c r="T46" s="263"/>
      <c r="U46" s="263"/>
      <c r="V46" s="263">
        <v>950.6</v>
      </c>
      <c r="W46" s="263"/>
      <c r="X46" s="263"/>
      <c r="Y46" s="263"/>
      <c r="Z46" s="325">
        <f t="shared" ref="Z46:Z53" si="0">IF(R46&gt;0,R46-V46,"")</f>
        <v>58.299999999999955</v>
      </c>
      <c r="AA46" s="325"/>
      <c r="AB46" s="325"/>
      <c r="AC46" s="325"/>
      <c r="AD46" s="378">
        <f>IFERROR(ROUND((100-(((Z45+Z46)/X37)*100)),0),"")</f>
        <v>94</v>
      </c>
      <c r="AE46" s="378"/>
      <c r="AF46" s="378"/>
      <c r="AG46" s="378"/>
      <c r="AH46" s="50"/>
      <c r="AI46" s="50"/>
      <c r="AJ46" s="50"/>
      <c r="AK46" s="50"/>
      <c r="AL46" s="50"/>
      <c r="AM46" s="50"/>
      <c r="AN46" s="50"/>
      <c r="AO46" s="56"/>
    </row>
    <row r="47" spans="1:41" ht="18" customHeight="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374" t="s">
        <v>18</v>
      </c>
      <c r="O47" s="375"/>
      <c r="P47" s="375"/>
      <c r="Q47" s="375"/>
      <c r="R47" s="263">
        <v>1147</v>
      </c>
      <c r="S47" s="263"/>
      <c r="T47" s="263"/>
      <c r="U47" s="263"/>
      <c r="V47" s="263">
        <v>999.3</v>
      </c>
      <c r="W47" s="263"/>
      <c r="X47" s="263"/>
      <c r="Y47" s="263"/>
      <c r="Z47" s="325">
        <f t="shared" si="0"/>
        <v>147.70000000000005</v>
      </c>
      <c r="AA47" s="325"/>
      <c r="AB47" s="325"/>
      <c r="AC47" s="325"/>
      <c r="AD47" s="378">
        <f>IFERROR(ROUND((100-(((Z45+Z46+Z47)/X37)*100)),0),"")</f>
        <v>79</v>
      </c>
      <c r="AE47" s="378"/>
      <c r="AF47" s="378"/>
      <c r="AG47" s="378"/>
      <c r="AH47" s="50"/>
      <c r="AI47" s="50"/>
      <c r="AJ47" s="50"/>
      <c r="AK47" s="50"/>
      <c r="AL47" s="50"/>
      <c r="AM47" s="50"/>
      <c r="AN47" s="50"/>
      <c r="AO47" s="56"/>
    </row>
    <row r="48" spans="1:41" ht="18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374" t="s">
        <v>19</v>
      </c>
      <c r="O48" s="375"/>
      <c r="P48" s="375"/>
      <c r="Q48" s="375"/>
      <c r="R48" s="263">
        <v>1137</v>
      </c>
      <c r="S48" s="263"/>
      <c r="T48" s="263"/>
      <c r="U48" s="263"/>
      <c r="V48" s="263">
        <v>887.4</v>
      </c>
      <c r="W48" s="263"/>
      <c r="X48" s="263"/>
      <c r="Y48" s="263"/>
      <c r="Z48" s="325">
        <f t="shared" si="0"/>
        <v>249.60000000000002</v>
      </c>
      <c r="AA48" s="325"/>
      <c r="AB48" s="325"/>
      <c r="AC48" s="325"/>
      <c r="AD48" s="378">
        <f>IFERROR(ROUND((100-(((Z45+Z46+Z47+Z48)/X37)*100)),0),"")</f>
        <v>52</v>
      </c>
      <c r="AE48" s="378"/>
      <c r="AF48" s="378"/>
      <c r="AG48" s="378"/>
      <c r="AH48" s="50"/>
      <c r="AI48" s="50"/>
      <c r="AJ48" s="50"/>
      <c r="AK48" s="50"/>
      <c r="AL48" s="50"/>
      <c r="AM48" s="50"/>
      <c r="AN48" s="50"/>
      <c r="AO48" s="56"/>
    </row>
    <row r="49" spans="1:41" ht="18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374" t="s">
        <v>20</v>
      </c>
      <c r="O49" s="375"/>
      <c r="P49" s="375"/>
      <c r="Q49" s="375"/>
      <c r="R49" s="263">
        <v>1018.2</v>
      </c>
      <c r="S49" s="263"/>
      <c r="T49" s="263"/>
      <c r="U49" s="263"/>
      <c r="V49" s="263">
        <v>831.7</v>
      </c>
      <c r="W49" s="263"/>
      <c r="X49" s="263"/>
      <c r="Y49" s="263"/>
      <c r="Z49" s="325">
        <f t="shared" si="0"/>
        <v>186.5</v>
      </c>
      <c r="AA49" s="325"/>
      <c r="AB49" s="325"/>
      <c r="AC49" s="325"/>
      <c r="AD49" s="378">
        <f>IFERROR(ROUND((100-(((Z45+Z46+Z47+Z48+Z49)/X37)*100)),0),"")</f>
        <v>33</v>
      </c>
      <c r="AE49" s="378"/>
      <c r="AF49" s="378"/>
      <c r="AG49" s="378"/>
      <c r="AH49" s="50"/>
      <c r="AI49" s="50"/>
      <c r="AJ49" s="50"/>
      <c r="AK49" s="50"/>
      <c r="AL49" s="50"/>
      <c r="AM49" s="50"/>
      <c r="AN49" s="50"/>
      <c r="AO49" s="56"/>
    </row>
    <row r="50" spans="1:41" ht="18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374" t="s">
        <v>21</v>
      </c>
      <c r="O50" s="375"/>
      <c r="P50" s="375"/>
      <c r="Q50" s="375"/>
      <c r="R50" s="263">
        <v>882</v>
      </c>
      <c r="S50" s="263"/>
      <c r="T50" s="263"/>
      <c r="U50" s="263"/>
      <c r="V50" s="263">
        <v>756.2</v>
      </c>
      <c r="W50" s="263"/>
      <c r="X50" s="263"/>
      <c r="Y50" s="263"/>
      <c r="Z50" s="325">
        <f t="shared" si="0"/>
        <v>125.79999999999995</v>
      </c>
      <c r="AA50" s="325"/>
      <c r="AB50" s="325"/>
      <c r="AC50" s="325"/>
      <c r="AD50" s="378">
        <f>IFERROR(ROUND((100-(((Z45+Z46+Z47+Z48+Z49+Z50)/X37)*100)),0),"")</f>
        <v>20</v>
      </c>
      <c r="AE50" s="378"/>
      <c r="AF50" s="378"/>
      <c r="AG50" s="378"/>
      <c r="AH50" s="50"/>
      <c r="AI50" s="50"/>
      <c r="AJ50" s="50"/>
      <c r="AK50" s="50"/>
      <c r="AL50" s="50"/>
      <c r="AM50" s="50"/>
      <c r="AN50" s="50"/>
      <c r="AO50" s="56"/>
    </row>
    <row r="51" spans="1:41" ht="18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374" t="s">
        <v>22</v>
      </c>
      <c r="O51" s="375"/>
      <c r="P51" s="375"/>
      <c r="Q51" s="375"/>
      <c r="R51" s="263">
        <v>800.5</v>
      </c>
      <c r="S51" s="263"/>
      <c r="T51" s="263"/>
      <c r="U51" s="263"/>
      <c r="V51" s="263">
        <v>720.3</v>
      </c>
      <c r="W51" s="263"/>
      <c r="X51" s="263"/>
      <c r="Y51" s="263"/>
      <c r="Z51" s="325">
        <f t="shared" si="0"/>
        <v>80.200000000000045</v>
      </c>
      <c r="AA51" s="325"/>
      <c r="AB51" s="325"/>
      <c r="AC51" s="325"/>
      <c r="AD51" s="378">
        <f>IFERROR(ROUND((100-(((Z45+Z46+Z47+Z48+Z49+Z50+Z51)/X37)*100)),0),"")</f>
        <v>12</v>
      </c>
      <c r="AE51" s="378"/>
      <c r="AF51" s="378"/>
      <c r="AG51" s="378"/>
      <c r="AH51" s="50"/>
      <c r="AI51" s="50"/>
      <c r="AJ51" s="50"/>
      <c r="AK51" s="50"/>
      <c r="AL51" s="50"/>
      <c r="AM51" s="50"/>
      <c r="AN51" s="50"/>
      <c r="AO51" s="56"/>
    </row>
    <row r="52" spans="1:41" ht="18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394" t="s">
        <v>32</v>
      </c>
      <c r="O52" s="395"/>
      <c r="P52" s="395"/>
      <c r="Q52" s="395"/>
      <c r="R52" s="263">
        <v>733.1</v>
      </c>
      <c r="S52" s="263"/>
      <c r="T52" s="263"/>
      <c r="U52" s="263"/>
      <c r="V52" s="263">
        <v>690.9</v>
      </c>
      <c r="W52" s="263"/>
      <c r="X52" s="263"/>
      <c r="Y52" s="263"/>
      <c r="Z52" s="325">
        <f t="shared" si="0"/>
        <v>42.200000000000045</v>
      </c>
      <c r="AA52" s="325"/>
      <c r="AB52" s="325"/>
      <c r="AC52" s="325"/>
      <c r="AD52" s="379">
        <f>IFERROR(ROUND((100-(((Z45+Z46+Z47+Z48+Z49+Z50+Z51+Z52)/X37)*100)),1),"")</f>
        <v>7.2</v>
      </c>
      <c r="AE52" s="379"/>
      <c r="AF52" s="379"/>
      <c r="AG52" s="379"/>
      <c r="AH52" s="50"/>
      <c r="AI52" s="50"/>
      <c r="AJ52" s="50"/>
      <c r="AK52" s="50"/>
      <c r="AL52" s="50"/>
      <c r="AM52" s="50"/>
      <c r="AN52" s="50"/>
      <c r="AO52" s="56"/>
    </row>
    <row r="53" spans="1:41" ht="18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394" t="s">
        <v>1334</v>
      </c>
      <c r="O53" s="395"/>
      <c r="P53" s="395"/>
      <c r="Q53" s="395"/>
      <c r="R53" s="263">
        <v>698.5</v>
      </c>
      <c r="S53" s="263"/>
      <c r="T53" s="263"/>
      <c r="U53" s="263"/>
      <c r="V53" s="263">
        <v>687.8</v>
      </c>
      <c r="W53" s="263"/>
      <c r="X53" s="263"/>
      <c r="Y53" s="263"/>
      <c r="Z53" s="325">
        <f t="shared" si="0"/>
        <v>10.700000000000045</v>
      </c>
      <c r="AA53" s="325"/>
      <c r="AB53" s="325"/>
      <c r="AC53" s="325"/>
      <c r="AD53" s="75"/>
      <c r="AE53" s="75"/>
      <c r="AF53" s="75"/>
      <c r="AG53" s="75"/>
      <c r="AH53" s="50"/>
      <c r="AI53" s="50"/>
      <c r="AJ53" s="50"/>
      <c r="AK53" s="50"/>
      <c r="AL53" s="50"/>
      <c r="AM53" s="50"/>
      <c r="AN53" s="50"/>
      <c r="AO53" s="56"/>
    </row>
    <row r="54" spans="1:41" ht="12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6"/>
    </row>
    <row r="55" spans="1:41" ht="18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116" t="s">
        <v>1542</v>
      </c>
      <c r="Z55" s="370">
        <f>IFERROR(ABS((X41-SUM(Z45:AC53))/X41)*100,"")</f>
        <v>1.2617851023486796E-14</v>
      </c>
      <c r="AA55" s="370"/>
      <c r="AB55" s="370"/>
      <c r="AC55" s="370"/>
      <c r="AD55" s="50" t="s">
        <v>1543</v>
      </c>
      <c r="AE55" s="50"/>
      <c r="AF55" s="50" t="s">
        <v>1544</v>
      </c>
      <c r="AG55" s="50"/>
      <c r="AH55" s="50"/>
      <c r="AI55" s="50"/>
      <c r="AJ55" s="50"/>
      <c r="AK55" s="50"/>
      <c r="AL55" s="50"/>
      <c r="AM55" s="50"/>
      <c r="AN55" s="50"/>
      <c r="AO55" s="56"/>
    </row>
    <row r="56" spans="1:41" ht="18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6"/>
    </row>
    <row r="57" spans="1:41" ht="18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6"/>
    </row>
    <row r="58" spans="1:41" ht="18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99"/>
      <c r="AA58" s="99"/>
      <c r="AB58" s="99"/>
      <c r="AC58" s="99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6"/>
    </row>
    <row r="59" spans="1:41" ht="18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6"/>
    </row>
    <row r="60" spans="1:41" ht="18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6"/>
    </row>
    <row r="61" spans="1:41" ht="18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6"/>
    </row>
    <row r="62" spans="1:41" ht="18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6"/>
    </row>
    <row r="63" spans="1:41" ht="18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6"/>
    </row>
    <row r="64" spans="1:41" ht="18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6"/>
    </row>
    <row r="65" spans="1:41" ht="18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6"/>
    </row>
    <row r="66" spans="1:41" ht="18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6"/>
    </row>
    <row r="67" spans="1:41" ht="18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6"/>
    </row>
    <row r="68" spans="1:41" ht="18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6"/>
    </row>
    <row r="69" spans="1:41" ht="18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6"/>
    </row>
    <row r="70" spans="1:41" ht="18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6"/>
    </row>
    <row r="71" spans="1:41" ht="18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6"/>
    </row>
    <row r="72" spans="1:41" ht="18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6"/>
    </row>
    <row r="73" spans="1:41" ht="18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6"/>
    </row>
    <row r="74" spans="1:41" ht="18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6"/>
    </row>
    <row r="75" spans="1:41" ht="18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6"/>
    </row>
    <row r="76" spans="1:41" ht="18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6"/>
    </row>
    <row r="77" spans="1:41" ht="18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6"/>
    </row>
    <row r="78" spans="1:41" ht="18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6"/>
    </row>
    <row r="79" spans="1:41" ht="18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6" t="e">
        <f>'TRANS. COV.'!AO68</f>
        <v>#REF!</v>
      </c>
    </row>
    <row r="81" spans="1:41" ht="14.1" customHeight="1" x14ac:dyDescent="0.2">
      <c r="A81" s="70" t="s">
        <v>1551</v>
      </c>
      <c r="B81" s="120"/>
    </row>
    <row r="82" spans="1:41" ht="14.1" customHeight="1" x14ac:dyDescent="0.2">
      <c r="A82" s="121"/>
      <c r="B82" s="122"/>
      <c r="C82" s="123"/>
      <c r="D82" s="134"/>
      <c r="E82" s="134"/>
      <c r="F82" s="134"/>
      <c r="G82" s="134"/>
      <c r="H82" s="134"/>
      <c r="I82" s="134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4"/>
    </row>
    <row r="83" spans="1:41" ht="14.1" customHeight="1" x14ac:dyDescent="0.2">
      <c r="A83" s="125"/>
      <c r="B83" s="126" t="str">
        <f>IF(COUNTIF(B88:B99,"*"&amp;"Error"&amp;"*")&gt;0,"Error(s) found! Please see below for details.","None")</f>
        <v>None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127"/>
    </row>
    <row r="84" spans="1:41" ht="14.1" customHeight="1" x14ac:dyDescent="0.2">
      <c r="A84" s="128"/>
      <c r="B84" s="129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1"/>
    </row>
    <row r="85" spans="1:41" ht="14.1" customHeight="1" x14ac:dyDescent="0.2">
      <c r="B85" s="120"/>
    </row>
    <row r="86" spans="1:41" ht="14.1" customHeight="1" x14ac:dyDescent="0.2">
      <c r="A86" s="70" t="s">
        <v>1552</v>
      </c>
      <c r="B86" s="120"/>
    </row>
    <row r="87" spans="1:41" ht="14.1" customHeight="1" x14ac:dyDescent="0.2">
      <c r="A87" s="121"/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4"/>
    </row>
    <row r="88" spans="1:41" ht="14.1" customHeight="1" x14ac:dyDescent="0.2">
      <c r="A88" s="132" t="s">
        <v>158</v>
      </c>
      <c r="B88" s="72" t="str">
        <f>IF(COUNTIF(H15,"")&gt;0,"Error! Missing information for % Agg. 1.",IF(COUNTIF(H15,"*")&gt;0,"Error! Incorrect format for % Agg. 1.",""))</f>
        <v/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127"/>
    </row>
    <row r="89" spans="1:41" ht="14.1" customHeight="1" x14ac:dyDescent="0.2">
      <c r="A89" s="132" t="s">
        <v>158</v>
      </c>
      <c r="B89" s="72" t="str">
        <f>IF(H15&gt;0,IF(COUNTIF(H16,"")&gt;0,"Error! Missing information for Agg. 1 Size.",""),"")</f>
        <v/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127"/>
    </row>
    <row r="90" spans="1:41" ht="14.1" customHeight="1" x14ac:dyDescent="0.2">
      <c r="A90" s="132" t="s">
        <v>158</v>
      </c>
      <c r="B90" s="72" t="str">
        <f>IF(H15&gt;0,IF(COUNTIF(H17,"")&gt;0,"Error! Missing information for Agg. 1 Type.",""),"")</f>
        <v/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127"/>
    </row>
    <row r="91" spans="1:41" ht="14.1" customHeight="1" x14ac:dyDescent="0.2">
      <c r="A91" s="132" t="s">
        <v>158</v>
      </c>
      <c r="B91" s="72" t="str">
        <f>IF(H15&gt;0,IF(COUNTIF(I19,"")&gt;0,"Error! Missing information for Agg. 1 Producer.",""),"")</f>
        <v/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127"/>
    </row>
    <row r="92" spans="1:41" ht="14.1" customHeight="1" x14ac:dyDescent="0.2">
      <c r="A92" s="132" t="s">
        <v>158</v>
      </c>
      <c r="B92" s="72" t="e">
        <f>IF(H15&gt;0,IF(COUNTIF(#REF!,"")&gt;0,"Error! Missing information for Agg. 1 Redistribution Yard.",""),"")</f>
        <v>#REF!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127"/>
    </row>
    <row r="93" spans="1:41" ht="14.1" customHeight="1" x14ac:dyDescent="0.2">
      <c r="A93" s="132" t="s">
        <v>158</v>
      </c>
      <c r="B93" s="72" t="str">
        <f>IF(H15&gt;0,IF(COUNTIF(I20,"")&gt;0,"Error! Missing information for Agg. 1 % Fractured.",IF(COUNTIF(I20,"*")&gt;0,"Error! Incorrect format for Agg. 1 % Fractured.","")),"")</f>
        <v/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127"/>
    </row>
    <row r="94" spans="1:41" ht="14.1" customHeight="1" x14ac:dyDescent="0.2">
      <c r="A94" s="132" t="s">
        <v>158</v>
      </c>
      <c r="B94" s="72" t="str">
        <f>IF(H15&gt;0,IF(COUNTIF(K21,"")&gt;0,"Error! Missing information for Agg. 1 Sand Equivalent.",IF(COUNTIF(K21,"*")&gt;0,"Error! Incorrect format for Agg. 1 Sand Equivalent.","")),"")</f>
        <v/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127"/>
    </row>
    <row r="95" spans="1:41" ht="14.1" customHeight="1" x14ac:dyDescent="0.2">
      <c r="A95" s="132" t="s">
        <v>158</v>
      </c>
      <c r="B95" s="72" t="str">
        <f>IF(H15&gt;0,IF(COUNTIF(K22,"")&gt;0,"Error! Missing information for Agg. 1 LA Abrasion.",IF(COUNTIF(K22,"*")&gt;0,"Error! Incorrect format for Agg. 1 LA Abrasion.","")),"")</f>
        <v/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127"/>
    </row>
    <row r="96" spans="1:41" ht="14.1" customHeight="1" x14ac:dyDescent="0.2">
      <c r="A96" s="132" t="s">
        <v>158</v>
      </c>
      <c r="B96" s="72" t="str">
        <f>IF(H15&gt;0,IF(COUNTIF(P23,"")&gt;0,"Error! Missing information for Agg. 1 Sodium Sulfate Soundness.",IF(COUNTIF(P23,"*")&gt;0,"Error! Incorrect format for Agg. 1 Sodium Sulfate Soundness.","")),"")</f>
        <v/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127"/>
    </row>
    <row r="97" spans="1:41" ht="14.1" customHeight="1" x14ac:dyDescent="0.2">
      <c r="A97" s="132" t="s">
        <v>158</v>
      </c>
      <c r="B97" s="126" t="str">
        <f>IF(H15&gt;0,IF(COUNTIF(F28:F35,"")&gt;0,"Error! Missing information for Agg. 1 % PASS.",""),"")</f>
        <v/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127"/>
    </row>
    <row r="98" spans="1:41" ht="14.1" customHeight="1" x14ac:dyDescent="0.2">
      <c r="A98" s="132" t="s">
        <v>158</v>
      </c>
      <c r="B98" s="126" t="str">
        <f>IF(H15&gt;0,IF(OR(F29&gt;F28,F30&gt;F29,F31&gt;F30,F32&gt;F31,F33&gt;F32,F34&gt;F33,F35&gt;F34),"Error! Numbers are not sequential for Agg. 1 gradation.",""),"")</f>
        <v/>
      </c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127"/>
    </row>
    <row r="99" spans="1:41" ht="14.1" customHeight="1" x14ac:dyDescent="0.2">
      <c r="A99" s="132" t="s">
        <v>158</v>
      </c>
      <c r="B99" s="126" t="str">
        <f>IF(H15&gt;0,IF(OR(F28&gt;100,F29&gt;100,F30&gt;100,F31&gt;100,F32&gt;100,F33&gt;100,F34&gt;100,F35&gt;100),"Error! % PASS cannot exceed 100% for Agg. 1 gradation.",""),"")</f>
        <v/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127"/>
    </row>
    <row r="100" spans="1:41" ht="14.1" customHeight="1" x14ac:dyDescent="0.2">
      <c r="A100" s="128"/>
      <c r="B100" s="129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1"/>
    </row>
    <row r="129" spans="6:6" ht="14.1" customHeight="1" x14ac:dyDescent="0.2">
      <c r="F129" s="126"/>
    </row>
    <row r="130" spans="6:6" ht="14.1" customHeight="1" x14ac:dyDescent="0.2">
      <c r="F130" s="126"/>
    </row>
    <row r="131" spans="6:6" ht="14.1" customHeight="1" x14ac:dyDescent="0.2">
      <c r="F131" s="126"/>
    </row>
    <row r="132" spans="6:6" ht="14.1" customHeight="1" x14ac:dyDescent="0.2">
      <c r="F132" s="126"/>
    </row>
    <row r="133" spans="6:6" ht="14.1" customHeight="1" x14ac:dyDescent="0.2">
      <c r="F133" s="126"/>
    </row>
    <row r="134" spans="6:6" ht="14.1" customHeight="1" x14ac:dyDescent="0.2">
      <c r="F134" s="126"/>
    </row>
    <row r="135" spans="6:6" ht="14.1" customHeight="1" x14ac:dyDescent="0.2">
      <c r="F135" s="126"/>
    </row>
    <row r="138" spans="6:6" ht="14.1" customHeight="1" x14ac:dyDescent="0.2">
      <c r="F138" s="126"/>
    </row>
    <row r="139" spans="6:6" ht="14.1" customHeight="1" x14ac:dyDescent="0.2">
      <c r="F139" s="126"/>
    </row>
    <row r="140" spans="6:6" ht="14.1" customHeight="1" x14ac:dyDescent="0.2">
      <c r="F140" s="126"/>
    </row>
    <row r="141" spans="6:6" ht="14.1" customHeight="1" x14ac:dyDescent="0.2">
      <c r="F141" s="126"/>
    </row>
    <row r="142" spans="6:6" ht="14.1" customHeight="1" x14ac:dyDescent="0.2">
      <c r="F142" s="126"/>
    </row>
    <row r="143" spans="6:6" ht="14.1" customHeight="1" x14ac:dyDescent="0.2">
      <c r="F143" s="126"/>
    </row>
    <row r="144" spans="6:6" ht="14.1" customHeight="1" x14ac:dyDescent="0.2">
      <c r="F144" s="126"/>
    </row>
    <row r="145" spans="6:6" ht="14.1" customHeight="1" x14ac:dyDescent="0.2">
      <c r="F145" s="126"/>
    </row>
  </sheetData>
  <sheetProtection algorithmName="SHA-512" hashValue="Mqce0alyt3m0dUSp4557unICl+utKCPpnOfH6/PsAKUWnFJ54ddiEeEeAmzNZLZENjNYkiiqU1YWyvgYA3zfVg==" saltValue="mXypPZ6YgSUpWbVt2XPWyw==" spinCount="100000" sheet="1" objects="1" scenarios="1"/>
  <dataConsolidate/>
  <mergeCells count="97">
    <mergeCell ref="R51:U51"/>
    <mergeCell ref="R52:U52"/>
    <mergeCell ref="R53:U53"/>
    <mergeCell ref="R49:U49"/>
    <mergeCell ref="X37:AA37"/>
    <mergeCell ref="X38:AA38"/>
    <mergeCell ref="X41:AA41"/>
    <mergeCell ref="Z45:AC45"/>
    <mergeCell ref="N45:Q45"/>
    <mergeCell ref="N52:Q52"/>
    <mergeCell ref="N53:Q53"/>
    <mergeCell ref="N47:Q47"/>
    <mergeCell ref="N46:Q46"/>
    <mergeCell ref="B20:H20"/>
    <mergeCell ref="I20:M20"/>
    <mergeCell ref="B31:E31"/>
    <mergeCell ref="F31:I31"/>
    <mergeCell ref="B32:E32"/>
    <mergeCell ref="A8:AO8"/>
    <mergeCell ref="A9:AO9"/>
    <mergeCell ref="B22:J22"/>
    <mergeCell ref="K22:O22"/>
    <mergeCell ref="H15:L15"/>
    <mergeCell ref="B16:G16"/>
    <mergeCell ref="H16:M16"/>
    <mergeCell ref="B17:G17"/>
    <mergeCell ref="H17:N17"/>
    <mergeCell ref="B15:G15"/>
    <mergeCell ref="B21:J21"/>
    <mergeCell ref="K21:O21"/>
    <mergeCell ref="B19:H19"/>
    <mergeCell ref="I19:AE19"/>
    <mergeCell ref="I18:M18"/>
    <mergeCell ref="B18:H18"/>
    <mergeCell ref="AB34:AE34"/>
    <mergeCell ref="B33:E33"/>
    <mergeCell ref="F33:I33"/>
    <mergeCell ref="F35:I35"/>
    <mergeCell ref="B30:E30"/>
    <mergeCell ref="F30:I30"/>
    <mergeCell ref="B35:E35"/>
    <mergeCell ref="AB28:AE28"/>
    <mergeCell ref="AB29:AE29"/>
    <mergeCell ref="AB31:AE31"/>
    <mergeCell ref="AB30:AE30"/>
    <mergeCell ref="AB32:AE32"/>
    <mergeCell ref="P23:T23"/>
    <mergeCell ref="B23:O23"/>
    <mergeCell ref="B27:E27"/>
    <mergeCell ref="F27:I27"/>
    <mergeCell ref="B34:E34"/>
    <mergeCell ref="F34:I34"/>
    <mergeCell ref="F32:I32"/>
    <mergeCell ref="B28:E28"/>
    <mergeCell ref="F28:I28"/>
    <mergeCell ref="B29:E29"/>
    <mergeCell ref="F29:I29"/>
    <mergeCell ref="AD50:AG50"/>
    <mergeCell ref="AD51:AG51"/>
    <mergeCell ref="AD52:AG52"/>
    <mergeCell ref="Z46:AC46"/>
    <mergeCell ref="Z47:AC47"/>
    <mergeCell ref="Z48:AC48"/>
    <mergeCell ref="Z49:AC49"/>
    <mergeCell ref="Z50:AC50"/>
    <mergeCell ref="Z51:AC51"/>
    <mergeCell ref="Z52:AC52"/>
    <mergeCell ref="AD46:AG46"/>
    <mergeCell ref="AD47:AG47"/>
    <mergeCell ref="AD48:AG48"/>
    <mergeCell ref="AD49:AG49"/>
    <mergeCell ref="AD43:AG44"/>
    <mergeCell ref="V46:Y46"/>
    <mergeCell ref="V47:Y47"/>
    <mergeCell ref="V48:Y48"/>
    <mergeCell ref="R45:U45"/>
    <mergeCell ref="R46:U46"/>
    <mergeCell ref="R47:U47"/>
    <mergeCell ref="R48:U48"/>
    <mergeCell ref="AD45:AG45"/>
    <mergeCell ref="V45:Y45"/>
    <mergeCell ref="Z55:AC55"/>
    <mergeCell ref="N43:Q44"/>
    <mergeCell ref="R43:U44"/>
    <mergeCell ref="V43:Y44"/>
    <mergeCell ref="Z43:AC44"/>
    <mergeCell ref="N48:Q48"/>
    <mergeCell ref="N49:Q49"/>
    <mergeCell ref="N50:Q50"/>
    <mergeCell ref="N51:Q51"/>
    <mergeCell ref="Z53:AC53"/>
    <mergeCell ref="V49:Y49"/>
    <mergeCell ref="V50:Y50"/>
    <mergeCell ref="V51:Y51"/>
    <mergeCell ref="V52:Y52"/>
    <mergeCell ref="V53:Y53"/>
    <mergeCell ref="R50:U50"/>
  </mergeCells>
  <dataValidations count="3">
    <dataValidation type="whole" allowBlank="1" showInputMessage="1" showErrorMessage="1" sqref="H15:L15 F28:I34">
      <formula1>0</formula1>
      <formula2>100</formula2>
    </dataValidation>
    <dataValidation type="decimal" allowBlank="1" showInputMessage="1" showErrorMessage="1" sqref="I20:M20 K21:O21 K22:O22 P23:T23 F35:I35">
      <formula1>0</formula1>
      <formula2>100</formula2>
    </dataValidation>
    <dataValidation type="decimal" allowBlank="1" showInputMessage="1" showErrorMessage="1" sqref="AB28:AE29 AB31:AE31 X38:AA38 R45:Y53">
      <formula1>0</formula1>
      <formula2>20000</formula2>
    </dataValidation>
  </dataValidations>
  <printOptions horizontalCentered="1"/>
  <pageMargins left="0.5" right="0.5" top="0.5" bottom="0.5" header="0.5" footer="0.5"/>
  <pageSetup scale="55" fitToWidth="0" orientation="portrait" horizontalDpi="300" verticalDpi="300" r:id="rId1"/>
  <headerFooter alignWithMargins="0"/>
  <ignoredErrors>
    <ignoredError sqref="Z45:AC55 B18:H18 B20:H20 B19:H19 J19:AE19 B24:AE27 B21:J21 P21:AE21 J18:AE18 B36:AE37 B28:E34 J30:AE30 N20:AE20 B22:J22 P22:AE22 B23:O23 U23:AE23 B35:E35 J35:AE35 J28:AA29 J32:AE34 J31:AA31 B39:AE39 B38:W38 AB38:AE3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'12-Agg Mat Codes'!$B$3:$B$8</xm:f>
          </x14:formula1>
          <xm:sqref>H17:N17</xm:sqref>
        </x14:dataValidation>
        <x14:dataValidation type="list" allowBlank="1" showInputMessage="1" showErrorMessage="1">
          <x14:formula1>
            <xm:f>'12-Agg Mat Codes'!$B$12:$B$21</xm:f>
          </x14:formula1>
          <xm:sqref>H16:M16</xm:sqref>
        </x14:dataValidation>
        <x14:dataValidation type="list" allowBlank="1" showInputMessage="1" showErrorMessage="1">
          <x14:formula1>
            <xm:f>'10-Agg PS Codes'!$A$2:$A$1000</xm:f>
          </x14:formula1>
          <xm:sqref>I19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100"/>
  <sheetViews>
    <sheetView topLeftCell="A5" zoomScaleNormal="100" zoomScaleSheetLayoutView="80" workbookViewId="0">
      <selection activeCell="AD11" sqref="AD11"/>
    </sheetView>
  </sheetViews>
  <sheetFormatPr defaultColWidth="9.140625" defaultRowHeight="14.1" customHeight="1" x14ac:dyDescent="0.2"/>
  <cols>
    <col min="1" max="41" width="2.85546875" style="51" customWidth="1"/>
    <col min="42" max="42" width="9.140625" style="51"/>
    <col min="43" max="46" width="12.85546875" style="51" customWidth="1"/>
    <col min="47" max="50" width="16.85546875" style="51" customWidth="1"/>
    <col min="51" max="69" width="12.85546875" style="51" customWidth="1"/>
    <col min="70" max="16384" width="9.140625" style="51"/>
  </cols>
  <sheetData>
    <row r="1" spans="1:41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1:41" ht="18" customHeight="1" x14ac:dyDescent="0.2">
      <c r="A9" s="284" t="s">
        <v>1657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1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8" customHeight="1" x14ac:dyDescent="0.2">
      <c r="A11" s="75"/>
      <c r="B11" s="88" t="s">
        <v>1271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6"/>
    </row>
    <row r="12" spans="1:41" ht="6" customHeigh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6"/>
    </row>
    <row r="13" spans="1:41" ht="18" customHeight="1" x14ac:dyDescent="0.2">
      <c r="A13" s="75"/>
      <c r="B13" s="101" t="s">
        <v>1632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6"/>
    </row>
    <row r="14" spans="1:41" ht="8.1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6"/>
    </row>
    <row r="15" spans="1:41" ht="18" customHeight="1" x14ac:dyDescent="0.2">
      <c r="A15" s="75"/>
      <c r="B15" s="277" t="s">
        <v>1260</v>
      </c>
      <c r="C15" s="278"/>
      <c r="D15" s="278"/>
      <c r="E15" s="278"/>
      <c r="F15" s="278"/>
      <c r="G15" s="279"/>
      <c r="H15" s="319">
        <f>100-'JMF SHEET PG 5'!H15</f>
        <v>50</v>
      </c>
      <c r="I15" s="320"/>
      <c r="J15" s="320"/>
      <c r="K15" s="320"/>
      <c r="L15" s="321"/>
      <c r="M15" s="75"/>
      <c r="N15" s="75"/>
      <c r="O15" s="75"/>
      <c r="P15" s="75"/>
      <c r="Q15" s="75"/>
      <c r="R15" s="75"/>
      <c r="S15" s="75"/>
      <c r="T15" s="75"/>
      <c r="U15" s="50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56"/>
    </row>
    <row r="16" spans="1:41" ht="18" customHeight="1" x14ac:dyDescent="0.2">
      <c r="A16" s="75"/>
      <c r="B16" s="277" t="s">
        <v>1261</v>
      </c>
      <c r="C16" s="278"/>
      <c r="D16" s="278"/>
      <c r="E16" s="278"/>
      <c r="F16" s="278"/>
      <c r="G16" s="279"/>
      <c r="H16" s="407" t="s">
        <v>1295</v>
      </c>
      <c r="I16" s="408"/>
      <c r="J16" s="408"/>
      <c r="K16" s="408"/>
      <c r="L16" s="408"/>
      <c r="M16" s="409"/>
      <c r="N16" s="75"/>
      <c r="O16" s="75"/>
      <c r="P16" s="75"/>
      <c r="Q16" s="75"/>
      <c r="R16" s="75"/>
      <c r="S16" s="75"/>
      <c r="T16" s="75"/>
      <c r="U16" s="50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56"/>
    </row>
    <row r="17" spans="1:43" ht="18" customHeight="1" x14ac:dyDescent="0.2">
      <c r="A17" s="75"/>
      <c r="B17" s="271" t="s">
        <v>1262</v>
      </c>
      <c r="C17" s="272"/>
      <c r="D17" s="272"/>
      <c r="E17" s="272"/>
      <c r="F17" s="272"/>
      <c r="G17" s="273"/>
      <c r="H17" s="407" t="s">
        <v>1628</v>
      </c>
      <c r="I17" s="408"/>
      <c r="J17" s="408"/>
      <c r="K17" s="408"/>
      <c r="L17" s="408"/>
      <c r="M17" s="408"/>
      <c r="N17" s="409"/>
      <c r="O17" s="75"/>
      <c r="P17" s="75"/>
      <c r="Q17" s="75"/>
      <c r="R17" s="75"/>
      <c r="S17" s="75"/>
      <c r="T17" s="75"/>
      <c r="U17" s="50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56"/>
    </row>
    <row r="18" spans="1:43" ht="18" customHeight="1" x14ac:dyDescent="0.2">
      <c r="A18" s="75"/>
      <c r="B18" s="315" t="s">
        <v>1555</v>
      </c>
      <c r="C18" s="315"/>
      <c r="D18" s="315"/>
      <c r="E18" s="315"/>
      <c r="F18" s="315"/>
      <c r="G18" s="315"/>
      <c r="H18" s="336"/>
      <c r="I18" s="400" t="str">
        <f>IF(H16="","",IF(H16="421-A","075RAL","075RBL"))</f>
        <v>075RAL</v>
      </c>
      <c r="J18" s="400"/>
      <c r="K18" s="400"/>
      <c r="L18" s="400"/>
      <c r="M18" s="400"/>
      <c r="N18" s="75"/>
      <c r="O18" s="75"/>
      <c r="P18" s="75"/>
      <c r="Q18" s="75"/>
      <c r="R18" s="75"/>
      <c r="S18" s="75"/>
      <c r="T18" s="75"/>
      <c r="U18" s="50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56"/>
      <c r="AQ18" s="51" t="s">
        <v>1558</v>
      </c>
    </row>
    <row r="19" spans="1:43" ht="18" customHeight="1" x14ac:dyDescent="0.2">
      <c r="A19" s="75"/>
      <c r="B19" s="277" t="s">
        <v>1263</v>
      </c>
      <c r="C19" s="278"/>
      <c r="D19" s="278"/>
      <c r="E19" s="278"/>
      <c r="F19" s="278"/>
      <c r="G19" s="278"/>
      <c r="H19" s="279"/>
      <c r="I19" s="410" t="s">
        <v>1143</v>
      </c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75"/>
      <c r="AG19" s="75"/>
      <c r="AH19" s="75"/>
      <c r="AI19" s="75"/>
      <c r="AJ19" s="75"/>
      <c r="AK19" s="75"/>
      <c r="AL19" s="75"/>
      <c r="AM19" s="75"/>
      <c r="AN19" s="75"/>
      <c r="AO19" s="56"/>
      <c r="AQ19" s="135" t="s">
        <v>1559</v>
      </c>
    </row>
    <row r="20" spans="1:43" ht="18" customHeight="1" x14ac:dyDescent="0.2">
      <c r="A20" s="75"/>
      <c r="B20" s="277" t="s">
        <v>1264</v>
      </c>
      <c r="C20" s="278"/>
      <c r="D20" s="278"/>
      <c r="E20" s="278"/>
      <c r="F20" s="278"/>
      <c r="G20" s="278"/>
      <c r="H20" s="279"/>
      <c r="I20" s="253">
        <v>100</v>
      </c>
      <c r="J20" s="254"/>
      <c r="K20" s="254"/>
      <c r="L20" s="254"/>
      <c r="M20" s="255"/>
      <c r="N20" s="75"/>
      <c r="O20" s="75"/>
      <c r="P20" s="75"/>
      <c r="Q20" s="75"/>
      <c r="R20" s="75"/>
      <c r="S20" s="75"/>
      <c r="T20" s="75"/>
      <c r="U20" s="50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56"/>
    </row>
    <row r="21" spans="1:43" ht="18" customHeight="1" x14ac:dyDescent="0.2">
      <c r="A21" s="75"/>
      <c r="B21" s="277" t="s">
        <v>1265</v>
      </c>
      <c r="C21" s="278"/>
      <c r="D21" s="278"/>
      <c r="E21" s="278"/>
      <c r="F21" s="278"/>
      <c r="G21" s="278"/>
      <c r="H21" s="278"/>
      <c r="I21" s="278"/>
      <c r="J21" s="279"/>
      <c r="K21" s="253">
        <v>88</v>
      </c>
      <c r="L21" s="254"/>
      <c r="M21" s="254"/>
      <c r="N21" s="254"/>
      <c r="O21" s="255"/>
      <c r="P21" s="75"/>
      <c r="Q21" s="75"/>
      <c r="R21" s="75"/>
      <c r="S21" s="75"/>
      <c r="T21" s="75"/>
      <c r="U21" s="50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56"/>
    </row>
    <row r="22" spans="1:43" ht="18" customHeight="1" x14ac:dyDescent="0.2">
      <c r="A22" s="75"/>
      <c r="B22" s="277" t="s">
        <v>1339</v>
      </c>
      <c r="C22" s="278"/>
      <c r="D22" s="278"/>
      <c r="E22" s="278"/>
      <c r="F22" s="278"/>
      <c r="G22" s="278"/>
      <c r="H22" s="278"/>
      <c r="I22" s="278"/>
      <c r="J22" s="279"/>
      <c r="K22" s="253">
        <v>8</v>
      </c>
      <c r="L22" s="254"/>
      <c r="M22" s="254"/>
      <c r="N22" s="254"/>
      <c r="O22" s="255"/>
      <c r="P22" s="75"/>
      <c r="Q22" s="75"/>
      <c r="R22" s="75"/>
      <c r="S22" s="75"/>
      <c r="T22" s="75"/>
      <c r="U22" s="50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56"/>
    </row>
    <row r="23" spans="1:43" ht="18" customHeight="1" x14ac:dyDescent="0.2">
      <c r="A23" s="75"/>
      <c r="B23" s="277" t="s">
        <v>1340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9"/>
      <c r="P23" s="253">
        <v>4.2</v>
      </c>
      <c r="Q23" s="254"/>
      <c r="R23" s="254"/>
      <c r="S23" s="254"/>
      <c r="T23" s="255"/>
      <c r="U23" s="50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56"/>
    </row>
    <row r="24" spans="1:43" ht="18" customHeigh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50"/>
      <c r="V24" s="50"/>
      <c r="W24" s="50"/>
      <c r="X24" s="50"/>
      <c r="Y24" s="50"/>
      <c r="Z24" s="50"/>
      <c r="AA24" s="75"/>
      <c r="AB24" s="75"/>
      <c r="AC24" s="75"/>
      <c r="AD24" s="75"/>
      <c r="AE24" s="75"/>
      <c r="AF24" s="75"/>
      <c r="AG24" s="75"/>
      <c r="AH24" s="50"/>
      <c r="AI24" s="50"/>
      <c r="AJ24" s="50"/>
      <c r="AK24" s="50"/>
      <c r="AL24" s="50"/>
      <c r="AM24" s="50"/>
      <c r="AN24" s="50"/>
      <c r="AO24" s="56"/>
    </row>
    <row r="25" spans="1:43" ht="18" customHeight="1" x14ac:dyDescent="0.2">
      <c r="A25" s="75"/>
      <c r="B25" s="101" t="s">
        <v>1330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01" t="s">
        <v>1541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75"/>
      <c r="AB25" s="75"/>
      <c r="AC25" s="75"/>
      <c r="AD25" s="75"/>
      <c r="AE25" s="75"/>
      <c r="AF25" s="75"/>
      <c r="AG25" s="75"/>
      <c r="AH25" s="50"/>
      <c r="AI25" s="50"/>
      <c r="AJ25" s="50"/>
      <c r="AK25" s="50"/>
      <c r="AL25" s="50"/>
      <c r="AM25" s="50"/>
      <c r="AN25" s="50"/>
      <c r="AO25" s="56"/>
    </row>
    <row r="26" spans="1:43" ht="8.1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50"/>
      <c r="AK26" s="50"/>
      <c r="AL26" s="50"/>
      <c r="AM26" s="50"/>
      <c r="AN26" s="50"/>
      <c r="AO26" s="56"/>
    </row>
    <row r="27" spans="1:43" ht="18" customHeight="1" thickBot="1" x14ac:dyDescent="0.25">
      <c r="A27" s="75"/>
      <c r="B27" s="380" t="s">
        <v>10</v>
      </c>
      <c r="C27" s="381"/>
      <c r="D27" s="381"/>
      <c r="E27" s="381"/>
      <c r="F27" s="382" t="s">
        <v>1268</v>
      </c>
      <c r="G27" s="383"/>
      <c r="H27" s="383"/>
      <c r="I27" s="384"/>
      <c r="J27" s="75"/>
      <c r="K27" s="75"/>
      <c r="L27" s="75"/>
      <c r="M27" s="75"/>
      <c r="N27" s="104" t="s">
        <v>1526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50"/>
      <c r="AN27" s="50"/>
      <c r="AO27" s="56"/>
    </row>
    <row r="28" spans="1:43" ht="18" customHeight="1" thickTop="1" x14ac:dyDescent="0.2">
      <c r="A28" s="75"/>
      <c r="B28" s="374" t="s">
        <v>16</v>
      </c>
      <c r="C28" s="375"/>
      <c r="D28" s="375"/>
      <c r="E28" s="375"/>
      <c r="F28" s="385">
        <v>100</v>
      </c>
      <c r="G28" s="386"/>
      <c r="H28" s="386"/>
      <c r="I28" s="387"/>
      <c r="J28" s="75"/>
      <c r="K28" s="75"/>
      <c r="L28" s="75"/>
      <c r="M28" s="75"/>
      <c r="N28" s="105" t="s">
        <v>1527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 t="s">
        <v>1190</v>
      </c>
      <c r="AA28" s="75"/>
      <c r="AB28" s="388">
        <v>2156.8000000000002</v>
      </c>
      <c r="AC28" s="389"/>
      <c r="AD28" s="389"/>
      <c r="AE28" s="390"/>
      <c r="AF28" s="75"/>
      <c r="AG28" s="75" t="s">
        <v>1332</v>
      </c>
      <c r="AH28" s="75"/>
      <c r="AI28" s="75"/>
      <c r="AJ28" s="75"/>
      <c r="AK28" s="75"/>
      <c r="AL28" s="75"/>
      <c r="AM28" s="50"/>
      <c r="AN28" s="50"/>
      <c r="AO28" s="56"/>
    </row>
    <row r="29" spans="1:43" ht="18" customHeight="1" x14ac:dyDescent="0.2">
      <c r="A29" s="75"/>
      <c r="B29" s="374" t="s">
        <v>17</v>
      </c>
      <c r="C29" s="375"/>
      <c r="D29" s="375"/>
      <c r="E29" s="375"/>
      <c r="F29" s="385">
        <v>90</v>
      </c>
      <c r="G29" s="386"/>
      <c r="H29" s="386"/>
      <c r="I29" s="387"/>
      <c r="J29" s="75"/>
      <c r="K29" s="75"/>
      <c r="L29" s="75"/>
      <c r="M29" s="75"/>
      <c r="N29" s="105" t="s">
        <v>1528</v>
      </c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 t="s">
        <v>1190</v>
      </c>
      <c r="AA29" s="75"/>
      <c r="AB29" s="388">
        <v>3157.1</v>
      </c>
      <c r="AC29" s="389"/>
      <c r="AD29" s="389"/>
      <c r="AE29" s="390"/>
      <c r="AF29" s="75"/>
      <c r="AG29" s="75" t="s">
        <v>1332</v>
      </c>
      <c r="AH29" s="75"/>
      <c r="AI29" s="75"/>
      <c r="AJ29" s="75"/>
      <c r="AK29" s="75"/>
      <c r="AL29" s="75"/>
      <c r="AM29" s="50"/>
      <c r="AN29" s="50"/>
      <c r="AO29" s="56"/>
    </row>
    <row r="30" spans="1:43" ht="18" customHeight="1" x14ac:dyDescent="0.2">
      <c r="A30" s="75"/>
      <c r="B30" s="374" t="s">
        <v>18</v>
      </c>
      <c r="C30" s="375"/>
      <c r="D30" s="375"/>
      <c r="E30" s="375"/>
      <c r="F30" s="385">
        <v>75</v>
      </c>
      <c r="G30" s="386"/>
      <c r="H30" s="386"/>
      <c r="I30" s="387"/>
      <c r="J30" s="75"/>
      <c r="K30" s="75"/>
      <c r="L30" s="75"/>
      <c r="M30" s="75"/>
      <c r="N30" s="105" t="s">
        <v>1530</v>
      </c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 t="s">
        <v>1190</v>
      </c>
      <c r="AA30" s="75"/>
      <c r="AB30" s="391">
        <f>IF(AND(AB28&gt;0,AB29&gt;0),AB29-AB28,"")</f>
        <v>1000.2999999999997</v>
      </c>
      <c r="AC30" s="392"/>
      <c r="AD30" s="392"/>
      <c r="AE30" s="393"/>
      <c r="AF30" s="75"/>
      <c r="AG30" s="75" t="s">
        <v>1332</v>
      </c>
      <c r="AH30" s="75"/>
      <c r="AI30" s="75"/>
      <c r="AJ30" s="75"/>
      <c r="AK30" s="75"/>
      <c r="AL30" s="75"/>
      <c r="AM30" s="50"/>
      <c r="AN30" s="50"/>
      <c r="AO30" s="56"/>
    </row>
    <row r="31" spans="1:43" ht="18" customHeight="1" x14ac:dyDescent="0.2">
      <c r="A31" s="75"/>
      <c r="B31" s="374" t="s">
        <v>19</v>
      </c>
      <c r="C31" s="375"/>
      <c r="D31" s="375"/>
      <c r="E31" s="375"/>
      <c r="F31" s="385">
        <v>57</v>
      </c>
      <c r="G31" s="386"/>
      <c r="H31" s="386"/>
      <c r="I31" s="387"/>
      <c r="J31" s="75"/>
      <c r="K31" s="75"/>
      <c r="L31" s="75"/>
      <c r="M31" s="75"/>
      <c r="N31" s="105" t="s">
        <v>1529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 t="s">
        <v>1190</v>
      </c>
      <c r="AA31" s="75"/>
      <c r="AB31" s="388">
        <v>3139.9</v>
      </c>
      <c r="AC31" s="389"/>
      <c r="AD31" s="389"/>
      <c r="AE31" s="390"/>
      <c r="AF31" s="75"/>
      <c r="AG31" s="75" t="s">
        <v>1332</v>
      </c>
      <c r="AH31" s="75"/>
      <c r="AI31" s="75"/>
      <c r="AJ31" s="75"/>
      <c r="AK31" s="75"/>
      <c r="AL31" s="75"/>
      <c r="AM31" s="50"/>
      <c r="AN31" s="50"/>
      <c r="AO31" s="56"/>
    </row>
    <row r="32" spans="1:43" ht="18" customHeight="1" x14ac:dyDescent="0.2">
      <c r="A32" s="75"/>
      <c r="B32" s="374" t="s">
        <v>20</v>
      </c>
      <c r="C32" s="375"/>
      <c r="D32" s="375"/>
      <c r="E32" s="375"/>
      <c r="F32" s="385">
        <v>29</v>
      </c>
      <c r="G32" s="386"/>
      <c r="H32" s="386"/>
      <c r="I32" s="387"/>
      <c r="J32" s="75"/>
      <c r="K32" s="75"/>
      <c r="L32" s="75"/>
      <c r="M32" s="75"/>
      <c r="N32" s="105" t="s">
        <v>1531</v>
      </c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 t="s">
        <v>1190</v>
      </c>
      <c r="AA32" s="75"/>
      <c r="AB32" s="391">
        <f>IF(AND(AB28&gt;0,AB31&gt;0),AB31-AB28,"")</f>
        <v>983.09999999999991</v>
      </c>
      <c r="AC32" s="392"/>
      <c r="AD32" s="392"/>
      <c r="AE32" s="393"/>
      <c r="AF32" s="75"/>
      <c r="AG32" s="75" t="s">
        <v>1332</v>
      </c>
      <c r="AH32" s="75"/>
      <c r="AI32" s="75"/>
      <c r="AJ32" s="75"/>
      <c r="AK32" s="75"/>
      <c r="AL32" s="75"/>
      <c r="AM32" s="50"/>
      <c r="AN32" s="50"/>
      <c r="AO32" s="56"/>
    </row>
    <row r="33" spans="1:41" ht="18" customHeight="1" x14ac:dyDescent="0.2">
      <c r="A33" s="75"/>
      <c r="B33" s="374" t="s">
        <v>21</v>
      </c>
      <c r="C33" s="375"/>
      <c r="D33" s="375"/>
      <c r="E33" s="375"/>
      <c r="F33" s="385">
        <v>18</v>
      </c>
      <c r="G33" s="386"/>
      <c r="H33" s="386"/>
      <c r="I33" s="387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50"/>
      <c r="AN33" s="50"/>
      <c r="AO33" s="56"/>
    </row>
    <row r="34" spans="1:41" ht="18" customHeight="1" x14ac:dyDescent="0.2">
      <c r="A34" s="75"/>
      <c r="B34" s="374" t="s">
        <v>22</v>
      </c>
      <c r="C34" s="375"/>
      <c r="D34" s="375"/>
      <c r="E34" s="375"/>
      <c r="F34" s="385">
        <v>14</v>
      </c>
      <c r="G34" s="386"/>
      <c r="H34" s="386"/>
      <c r="I34" s="387"/>
      <c r="J34" s="75"/>
      <c r="K34" s="75"/>
      <c r="L34" s="75"/>
      <c r="M34" s="75"/>
      <c r="N34" s="75" t="s">
        <v>1279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 t="s">
        <v>1190</v>
      </c>
      <c r="AA34" s="75"/>
      <c r="AB34" s="391">
        <f>IFERROR(ROUND((AB30-AB32)/AB32*100,1),"")</f>
        <v>1.7</v>
      </c>
      <c r="AC34" s="392"/>
      <c r="AD34" s="392"/>
      <c r="AE34" s="393"/>
      <c r="AF34" s="75"/>
      <c r="AG34" s="75" t="s">
        <v>1532</v>
      </c>
      <c r="AH34" s="75"/>
      <c r="AI34" s="75"/>
      <c r="AJ34" s="75"/>
      <c r="AK34" s="75"/>
      <c r="AL34" s="75"/>
      <c r="AM34" s="50"/>
      <c r="AN34" s="50"/>
      <c r="AO34" s="56"/>
    </row>
    <row r="35" spans="1:41" ht="18" customHeight="1" x14ac:dyDescent="0.2">
      <c r="A35" s="75"/>
      <c r="B35" s="394" t="s">
        <v>32</v>
      </c>
      <c r="C35" s="395"/>
      <c r="D35" s="395"/>
      <c r="E35" s="395"/>
      <c r="F35" s="388">
        <v>5</v>
      </c>
      <c r="G35" s="389"/>
      <c r="H35" s="389"/>
      <c r="I35" s="390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50"/>
      <c r="AN35" s="50"/>
      <c r="AO35" s="56"/>
    </row>
    <row r="36" spans="1:41" ht="18" customHeigh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104" t="s">
        <v>1331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50"/>
      <c r="AK36" s="50"/>
      <c r="AL36" s="50"/>
      <c r="AM36" s="50"/>
      <c r="AN36" s="50"/>
      <c r="AO36" s="56"/>
    </row>
    <row r="37" spans="1:41" ht="18" customHeigh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105" t="s">
        <v>1534</v>
      </c>
      <c r="O37" s="75"/>
      <c r="P37" s="75"/>
      <c r="Q37" s="75"/>
      <c r="R37" s="75"/>
      <c r="S37" s="75"/>
      <c r="T37" s="75"/>
      <c r="U37" s="75"/>
      <c r="V37" s="75" t="s">
        <v>1190</v>
      </c>
      <c r="W37" s="75"/>
      <c r="X37" s="391">
        <f>AB32</f>
        <v>983.09999999999991</v>
      </c>
      <c r="Y37" s="392"/>
      <c r="Z37" s="392"/>
      <c r="AA37" s="393"/>
      <c r="AB37" s="75"/>
      <c r="AC37" s="75" t="s">
        <v>1332</v>
      </c>
      <c r="AD37" s="115"/>
      <c r="AE37" s="115" t="s">
        <v>1533</v>
      </c>
      <c r="AF37" s="75"/>
      <c r="AG37" s="75"/>
      <c r="AH37" s="75"/>
      <c r="AI37" s="75"/>
      <c r="AJ37" s="50"/>
      <c r="AK37" s="50"/>
      <c r="AL37" s="50"/>
      <c r="AM37" s="50"/>
      <c r="AN37" s="50"/>
      <c r="AO37" s="56"/>
    </row>
    <row r="38" spans="1:41" ht="18" customHeigh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105" t="s">
        <v>1535</v>
      </c>
      <c r="O38" s="75"/>
      <c r="P38" s="75"/>
      <c r="Q38" s="75"/>
      <c r="R38" s="75"/>
      <c r="S38" s="75"/>
      <c r="T38" s="75"/>
      <c r="U38" s="75"/>
      <c r="V38" s="75" t="s">
        <v>1190</v>
      </c>
      <c r="W38" s="75"/>
      <c r="X38" s="388">
        <v>923</v>
      </c>
      <c r="Y38" s="389"/>
      <c r="Z38" s="389"/>
      <c r="AA38" s="390"/>
      <c r="AB38" s="75"/>
      <c r="AC38" s="75" t="s">
        <v>1332</v>
      </c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50"/>
      <c r="AO38" s="56"/>
    </row>
    <row r="39" spans="1:41" ht="18" customHeigh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50"/>
      <c r="AO39" s="56"/>
    </row>
    <row r="40" spans="1:41" ht="18" customHeigh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104" t="s">
        <v>1333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50"/>
      <c r="AK40" s="50"/>
      <c r="AL40" s="50"/>
      <c r="AM40" s="50"/>
      <c r="AN40" s="50"/>
      <c r="AO40" s="56"/>
    </row>
    <row r="41" spans="1:41" ht="18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105" t="s">
        <v>1536</v>
      </c>
      <c r="O41" s="75"/>
      <c r="P41" s="75"/>
      <c r="Q41" s="75"/>
      <c r="R41" s="75"/>
      <c r="S41" s="75"/>
      <c r="T41" s="75"/>
      <c r="U41" s="75"/>
      <c r="V41" s="75" t="s">
        <v>1190</v>
      </c>
      <c r="W41" s="75"/>
      <c r="X41" s="403">
        <f>IF(X38&gt;0,X38,"")</f>
        <v>923</v>
      </c>
      <c r="Y41" s="404"/>
      <c r="Z41" s="404"/>
      <c r="AA41" s="405"/>
      <c r="AB41" s="106"/>
      <c r="AC41" s="75" t="s">
        <v>1332</v>
      </c>
      <c r="AD41" s="115"/>
      <c r="AE41" s="115" t="s">
        <v>1540</v>
      </c>
      <c r="AF41" s="75"/>
      <c r="AG41" s="75"/>
      <c r="AH41" s="75"/>
      <c r="AI41" s="75"/>
      <c r="AJ41" s="50"/>
      <c r="AK41" s="50"/>
      <c r="AL41" s="50"/>
      <c r="AM41" s="50"/>
      <c r="AN41" s="50"/>
      <c r="AO41" s="56"/>
    </row>
    <row r="42" spans="1:41" ht="12" customHeigh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50"/>
      <c r="AK42" s="50"/>
      <c r="AL42" s="50"/>
      <c r="AM42" s="50"/>
      <c r="AN42" s="50"/>
      <c r="AO42" s="56"/>
    </row>
    <row r="43" spans="1:41" ht="18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225" t="s">
        <v>10</v>
      </c>
      <c r="O43" s="225"/>
      <c r="P43" s="225"/>
      <c r="Q43" s="225"/>
      <c r="R43" s="372" t="s">
        <v>1538</v>
      </c>
      <c r="S43" s="372"/>
      <c r="T43" s="372"/>
      <c r="U43" s="372"/>
      <c r="V43" s="372" t="s">
        <v>1537</v>
      </c>
      <c r="W43" s="372"/>
      <c r="X43" s="372"/>
      <c r="Y43" s="372"/>
      <c r="Z43" s="372" t="s">
        <v>1539</v>
      </c>
      <c r="AA43" s="372"/>
      <c r="AB43" s="372"/>
      <c r="AC43" s="372"/>
      <c r="AD43" s="372" t="s">
        <v>1268</v>
      </c>
      <c r="AE43" s="372"/>
      <c r="AF43" s="372"/>
      <c r="AG43" s="372"/>
      <c r="AH43" s="50"/>
      <c r="AI43" s="50"/>
      <c r="AJ43" s="50"/>
      <c r="AK43" s="50"/>
      <c r="AL43" s="50"/>
      <c r="AM43" s="50"/>
      <c r="AN43" s="50"/>
      <c r="AO43" s="56"/>
    </row>
    <row r="44" spans="1:41" ht="18" customHeight="1" thickBo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371"/>
      <c r="O44" s="371"/>
      <c r="P44" s="371"/>
      <c r="Q44" s="371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50"/>
      <c r="AI44" s="50"/>
      <c r="AJ44" s="50"/>
      <c r="AK44" s="50"/>
      <c r="AL44" s="50"/>
      <c r="AM44" s="50"/>
      <c r="AN44" s="50"/>
      <c r="AO44" s="56"/>
    </row>
    <row r="45" spans="1:41" ht="18" customHeight="1" thickTop="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401" t="s">
        <v>16</v>
      </c>
      <c r="O45" s="402"/>
      <c r="P45" s="402"/>
      <c r="Q45" s="402"/>
      <c r="R45" s="376">
        <v>1174.4000000000001</v>
      </c>
      <c r="S45" s="376"/>
      <c r="T45" s="376"/>
      <c r="U45" s="376"/>
      <c r="V45" s="376">
        <v>1174.4000000000001</v>
      </c>
      <c r="W45" s="376"/>
      <c r="X45" s="376"/>
      <c r="Y45" s="376"/>
      <c r="Z45" s="406">
        <f>IF(R45&gt;0,R45-V45,"")</f>
        <v>0</v>
      </c>
      <c r="AA45" s="406"/>
      <c r="AB45" s="406"/>
      <c r="AC45" s="406"/>
      <c r="AD45" s="377">
        <f>IFERROR(IF(Z45=0,100,(100-(((Z45)/X37)*100))),"")</f>
        <v>100</v>
      </c>
      <c r="AE45" s="377"/>
      <c r="AF45" s="377"/>
      <c r="AG45" s="377"/>
      <c r="AH45" s="50"/>
      <c r="AI45" s="50"/>
      <c r="AJ45" s="50"/>
      <c r="AK45" s="50"/>
      <c r="AL45" s="50"/>
      <c r="AM45" s="50"/>
      <c r="AN45" s="50"/>
      <c r="AO45" s="56"/>
    </row>
    <row r="46" spans="1:41" ht="18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374" t="s">
        <v>17</v>
      </c>
      <c r="O46" s="375"/>
      <c r="P46" s="375"/>
      <c r="Q46" s="375"/>
      <c r="R46" s="263">
        <v>1130.0999999999999</v>
      </c>
      <c r="S46" s="263"/>
      <c r="T46" s="263"/>
      <c r="U46" s="263"/>
      <c r="V46" s="263">
        <v>1093.5999999999999</v>
      </c>
      <c r="W46" s="263"/>
      <c r="X46" s="263"/>
      <c r="Y46" s="263"/>
      <c r="Z46" s="325">
        <f t="shared" ref="Z46:Z53" si="0">IF(R46&gt;0,R46-V46,"")</f>
        <v>36.5</v>
      </c>
      <c r="AA46" s="325"/>
      <c r="AB46" s="325"/>
      <c r="AC46" s="325"/>
      <c r="AD46" s="378">
        <f>IFERROR(ROUND((100-(((Z45+Z46)/X37)*100)),0),"")</f>
        <v>96</v>
      </c>
      <c r="AE46" s="378"/>
      <c r="AF46" s="378"/>
      <c r="AG46" s="378"/>
      <c r="AH46" s="50"/>
      <c r="AI46" s="50"/>
      <c r="AJ46" s="50"/>
      <c r="AK46" s="50"/>
      <c r="AL46" s="50"/>
      <c r="AM46" s="50"/>
      <c r="AN46" s="50"/>
      <c r="AO46" s="56"/>
    </row>
    <row r="47" spans="1:41" ht="18" customHeight="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374" t="s">
        <v>18</v>
      </c>
      <c r="O47" s="375"/>
      <c r="P47" s="375"/>
      <c r="Q47" s="375"/>
      <c r="R47" s="263">
        <v>1198.5999999999999</v>
      </c>
      <c r="S47" s="263"/>
      <c r="T47" s="263"/>
      <c r="U47" s="263"/>
      <c r="V47" s="263">
        <v>1053.5</v>
      </c>
      <c r="W47" s="263"/>
      <c r="X47" s="263"/>
      <c r="Y47" s="263"/>
      <c r="Z47" s="325">
        <f t="shared" si="0"/>
        <v>145.09999999999991</v>
      </c>
      <c r="AA47" s="325"/>
      <c r="AB47" s="325"/>
      <c r="AC47" s="325"/>
      <c r="AD47" s="378">
        <f>IFERROR(ROUND((100-(((Z45+Z46+Z47)/X37)*100)),0),"")</f>
        <v>82</v>
      </c>
      <c r="AE47" s="378"/>
      <c r="AF47" s="378"/>
      <c r="AG47" s="378"/>
      <c r="AH47" s="50"/>
      <c r="AI47" s="50"/>
      <c r="AJ47" s="50"/>
      <c r="AK47" s="50"/>
      <c r="AL47" s="50"/>
      <c r="AM47" s="50"/>
      <c r="AN47" s="50"/>
      <c r="AO47" s="56"/>
    </row>
    <row r="48" spans="1:41" ht="18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374" t="s">
        <v>19</v>
      </c>
      <c r="O48" s="375"/>
      <c r="P48" s="375"/>
      <c r="Q48" s="375"/>
      <c r="R48" s="263">
        <v>1159.3</v>
      </c>
      <c r="S48" s="263"/>
      <c r="T48" s="263"/>
      <c r="U48" s="263"/>
      <c r="V48" s="263">
        <v>918.5</v>
      </c>
      <c r="W48" s="263"/>
      <c r="X48" s="263"/>
      <c r="Y48" s="263"/>
      <c r="Z48" s="325">
        <f t="shared" si="0"/>
        <v>240.79999999999995</v>
      </c>
      <c r="AA48" s="325"/>
      <c r="AB48" s="325"/>
      <c r="AC48" s="325"/>
      <c r="AD48" s="378">
        <f>IFERROR(ROUND((100-(((Z45+Z46+Z47+Z48)/X37)*100)),0),"")</f>
        <v>57</v>
      </c>
      <c r="AE48" s="378"/>
      <c r="AF48" s="378"/>
      <c r="AG48" s="378"/>
      <c r="AH48" s="50"/>
      <c r="AI48" s="50"/>
      <c r="AJ48" s="50"/>
      <c r="AK48" s="50"/>
      <c r="AL48" s="50"/>
      <c r="AM48" s="50"/>
      <c r="AN48" s="50"/>
      <c r="AO48" s="56"/>
    </row>
    <row r="49" spans="1:41" ht="18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374" t="s">
        <v>20</v>
      </c>
      <c r="O49" s="375"/>
      <c r="P49" s="375"/>
      <c r="Q49" s="375"/>
      <c r="R49" s="263">
        <v>1081.7</v>
      </c>
      <c r="S49" s="263"/>
      <c r="T49" s="263"/>
      <c r="U49" s="263"/>
      <c r="V49" s="263">
        <v>881.5</v>
      </c>
      <c r="W49" s="263"/>
      <c r="X49" s="263"/>
      <c r="Y49" s="263"/>
      <c r="Z49" s="325">
        <f t="shared" si="0"/>
        <v>200.20000000000005</v>
      </c>
      <c r="AA49" s="325"/>
      <c r="AB49" s="325"/>
      <c r="AC49" s="325"/>
      <c r="AD49" s="378">
        <f>IFERROR(ROUND((100-(((Z45+Z46+Z47+Z48+Z49)/X37)*100)),0),"")</f>
        <v>37</v>
      </c>
      <c r="AE49" s="378"/>
      <c r="AF49" s="378"/>
      <c r="AG49" s="378"/>
      <c r="AH49" s="50"/>
      <c r="AI49" s="50"/>
      <c r="AJ49" s="50"/>
      <c r="AK49" s="50"/>
      <c r="AL49" s="50"/>
      <c r="AM49" s="50"/>
      <c r="AN49" s="50"/>
      <c r="AO49" s="56"/>
    </row>
    <row r="50" spans="1:41" ht="18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374" t="s">
        <v>21</v>
      </c>
      <c r="O50" s="375"/>
      <c r="P50" s="375"/>
      <c r="Q50" s="375"/>
      <c r="R50" s="263">
        <v>937.7</v>
      </c>
      <c r="S50" s="263"/>
      <c r="T50" s="263"/>
      <c r="U50" s="263"/>
      <c r="V50" s="263">
        <v>798.5</v>
      </c>
      <c r="W50" s="263"/>
      <c r="X50" s="263"/>
      <c r="Y50" s="263"/>
      <c r="Z50" s="325">
        <f t="shared" si="0"/>
        <v>139.20000000000005</v>
      </c>
      <c r="AA50" s="325"/>
      <c r="AB50" s="325"/>
      <c r="AC50" s="325"/>
      <c r="AD50" s="378">
        <f>IFERROR(ROUND((100-(((Z45+Z46+Z47+Z48+Z49+Z50)/X37)*100)),0),"")</f>
        <v>23</v>
      </c>
      <c r="AE50" s="378"/>
      <c r="AF50" s="378"/>
      <c r="AG50" s="378"/>
      <c r="AH50" s="50"/>
      <c r="AI50" s="50"/>
      <c r="AJ50" s="50"/>
      <c r="AK50" s="50"/>
      <c r="AL50" s="50"/>
      <c r="AM50" s="50"/>
      <c r="AN50" s="50"/>
      <c r="AO50" s="56"/>
    </row>
    <row r="51" spans="1:41" ht="18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374" t="s">
        <v>22</v>
      </c>
      <c r="O51" s="375"/>
      <c r="P51" s="375"/>
      <c r="Q51" s="375"/>
      <c r="R51" s="263">
        <v>840.5</v>
      </c>
      <c r="S51" s="263"/>
      <c r="T51" s="263"/>
      <c r="U51" s="263"/>
      <c r="V51" s="263">
        <v>750.3</v>
      </c>
      <c r="W51" s="263"/>
      <c r="X51" s="263"/>
      <c r="Y51" s="263"/>
      <c r="Z51" s="325">
        <f t="shared" si="0"/>
        <v>90.200000000000045</v>
      </c>
      <c r="AA51" s="325"/>
      <c r="AB51" s="325"/>
      <c r="AC51" s="325"/>
      <c r="AD51" s="378">
        <f>IFERROR(ROUND((100-(((Z45+Z46+Z47+Z48+Z49+Z50+Z51)/X37)*100)),0),"")</f>
        <v>13</v>
      </c>
      <c r="AE51" s="378"/>
      <c r="AF51" s="378"/>
      <c r="AG51" s="378"/>
      <c r="AH51" s="50"/>
      <c r="AI51" s="50"/>
      <c r="AJ51" s="50"/>
      <c r="AK51" s="50"/>
      <c r="AL51" s="50"/>
      <c r="AM51" s="50"/>
      <c r="AN51" s="50"/>
      <c r="AO51" s="56"/>
    </row>
    <row r="52" spans="1:41" ht="18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394" t="s">
        <v>32</v>
      </c>
      <c r="O52" s="395"/>
      <c r="P52" s="395"/>
      <c r="Q52" s="395"/>
      <c r="R52" s="263">
        <v>793.1</v>
      </c>
      <c r="S52" s="263"/>
      <c r="T52" s="263"/>
      <c r="U52" s="263"/>
      <c r="V52" s="263">
        <v>735</v>
      </c>
      <c r="W52" s="263"/>
      <c r="X52" s="263"/>
      <c r="Y52" s="263"/>
      <c r="Z52" s="325">
        <f t="shared" si="0"/>
        <v>58.100000000000023</v>
      </c>
      <c r="AA52" s="325"/>
      <c r="AB52" s="325"/>
      <c r="AC52" s="325"/>
      <c r="AD52" s="379">
        <f>IFERROR(ROUND((100-(((Z45+Z46+Z47+Z48+Z49+Z50+Z51+Z52)/X37)*100)),1),"")</f>
        <v>7.4</v>
      </c>
      <c r="AE52" s="379"/>
      <c r="AF52" s="379"/>
      <c r="AG52" s="379"/>
      <c r="AH52" s="50"/>
      <c r="AI52" s="50"/>
      <c r="AJ52" s="50"/>
      <c r="AK52" s="50"/>
      <c r="AL52" s="50"/>
      <c r="AM52" s="50"/>
      <c r="AN52" s="50"/>
      <c r="AO52" s="56"/>
    </row>
    <row r="53" spans="1:41" ht="18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394" t="s">
        <v>1334</v>
      </c>
      <c r="O53" s="395"/>
      <c r="P53" s="395"/>
      <c r="Q53" s="395"/>
      <c r="R53" s="263">
        <v>694.5</v>
      </c>
      <c r="S53" s="263"/>
      <c r="T53" s="263"/>
      <c r="U53" s="263"/>
      <c r="V53" s="263">
        <v>681.6</v>
      </c>
      <c r="W53" s="263"/>
      <c r="X53" s="263"/>
      <c r="Y53" s="263"/>
      <c r="Z53" s="325">
        <f t="shared" si="0"/>
        <v>12.899999999999977</v>
      </c>
      <c r="AA53" s="325"/>
      <c r="AB53" s="325"/>
      <c r="AC53" s="325"/>
      <c r="AD53" s="75"/>
      <c r="AE53" s="75"/>
      <c r="AF53" s="75"/>
      <c r="AG53" s="75"/>
      <c r="AH53" s="50"/>
      <c r="AI53" s="50"/>
      <c r="AJ53" s="50"/>
      <c r="AK53" s="50"/>
      <c r="AL53" s="50"/>
      <c r="AM53" s="50"/>
      <c r="AN53" s="50"/>
      <c r="AO53" s="56"/>
    </row>
    <row r="54" spans="1:41" ht="12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6"/>
    </row>
    <row r="55" spans="1:41" ht="18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116" t="s">
        <v>1542</v>
      </c>
      <c r="Z55" s="370">
        <f>IFERROR(ABS((X41-SUM(Z45:AC53))/X41)*100,"")</f>
        <v>0</v>
      </c>
      <c r="AA55" s="370"/>
      <c r="AB55" s="370"/>
      <c r="AC55" s="370"/>
      <c r="AD55" s="50" t="s">
        <v>1543</v>
      </c>
      <c r="AE55" s="50"/>
      <c r="AF55" s="50" t="s">
        <v>1544</v>
      </c>
      <c r="AG55" s="50"/>
      <c r="AH55" s="50"/>
      <c r="AI55" s="50"/>
      <c r="AJ55" s="50"/>
      <c r="AK55" s="50"/>
      <c r="AL55" s="50"/>
      <c r="AM55" s="50"/>
      <c r="AN55" s="50"/>
      <c r="AO55" s="56"/>
    </row>
    <row r="56" spans="1:41" ht="18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6"/>
    </row>
    <row r="57" spans="1:41" ht="18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6"/>
    </row>
    <row r="58" spans="1:41" ht="18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99"/>
      <c r="AA58" s="99"/>
      <c r="AB58" s="99"/>
      <c r="AC58" s="99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6"/>
    </row>
    <row r="59" spans="1:41" ht="18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6"/>
    </row>
    <row r="60" spans="1:41" ht="18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6"/>
    </row>
    <row r="61" spans="1:41" ht="18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6"/>
    </row>
    <row r="62" spans="1:41" ht="18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6"/>
    </row>
    <row r="63" spans="1:41" ht="18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6"/>
    </row>
    <row r="64" spans="1:41" ht="18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6"/>
    </row>
    <row r="65" spans="1:41" ht="18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6"/>
    </row>
    <row r="66" spans="1:41" ht="18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6"/>
    </row>
    <row r="67" spans="1:41" ht="18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6"/>
    </row>
    <row r="68" spans="1:41" ht="18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6"/>
    </row>
    <row r="69" spans="1:41" ht="18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6"/>
    </row>
    <row r="70" spans="1:41" ht="18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6"/>
    </row>
    <row r="71" spans="1:41" ht="18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6"/>
    </row>
    <row r="72" spans="1:41" ht="18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6"/>
    </row>
    <row r="73" spans="1:41" ht="18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6"/>
    </row>
    <row r="74" spans="1:41" ht="18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6"/>
    </row>
    <row r="75" spans="1:41" ht="18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6"/>
    </row>
    <row r="76" spans="1:41" ht="18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6"/>
    </row>
    <row r="77" spans="1:41" ht="18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6"/>
    </row>
    <row r="78" spans="1:41" ht="18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6"/>
    </row>
    <row r="79" spans="1:41" ht="18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6" t="e">
        <f>'TRANS. COV.'!AO68</f>
        <v>#REF!</v>
      </c>
    </row>
    <row r="81" spans="1:41" ht="14.1" customHeight="1" x14ac:dyDescent="0.2">
      <c r="A81" s="70" t="s">
        <v>1551</v>
      </c>
      <c r="B81" s="120"/>
    </row>
    <row r="82" spans="1:41" ht="14.1" customHeight="1" x14ac:dyDescent="0.2">
      <c r="A82" s="121"/>
      <c r="B82" s="122"/>
      <c r="C82" s="123"/>
      <c r="D82" s="134"/>
      <c r="E82" s="134"/>
      <c r="F82" s="134"/>
      <c r="G82" s="134"/>
      <c r="H82" s="134"/>
      <c r="I82" s="134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4"/>
    </row>
    <row r="83" spans="1:41" ht="14.1" customHeight="1" x14ac:dyDescent="0.2">
      <c r="A83" s="125"/>
      <c r="B83" s="126" t="str">
        <f>IF(COUNTIF(B88:B99,"*"&amp;"Error"&amp;"*")&gt;0,"Error(s) found! Please see below for details.","None")</f>
        <v>None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127"/>
    </row>
    <row r="84" spans="1:41" ht="14.1" customHeight="1" x14ac:dyDescent="0.2">
      <c r="A84" s="128"/>
      <c r="B84" s="129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1"/>
    </row>
    <row r="85" spans="1:41" ht="14.1" customHeight="1" x14ac:dyDescent="0.2">
      <c r="B85" s="120"/>
    </row>
    <row r="86" spans="1:41" ht="14.1" customHeight="1" x14ac:dyDescent="0.2">
      <c r="A86" s="70" t="s">
        <v>1552</v>
      </c>
      <c r="B86" s="120"/>
    </row>
    <row r="87" spans="1:41" ht="14.1" customHeight="1" x14ac:dyDescent="0.2">
      <c r="A87" s="121"/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4"/>
    </row>
    <row r="88" spans="1:41" ht="14.1" customHeight="1" x14ac:dyDescent="0.2">
      <c r="A88" s="132" t="s">
        <v>158</v>
      </c>
      <c r="B88" s="72" t="str">
        <f>IF(COUNTIF(H15,"")&gt;0,"Error! Missing information for % Agg. 2.",IF(COUNTIF(H15,"*")&gt;0,"Error! Incorrect format for % Agg. 2.",""))</f>
        <v/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127"/>
    </row>
    <row r="89" spans="1:41" ht="14.1" customHeight="1" x14ac:dyDescent="0.2">
      <c r="A89" s="132" t="s">
        <v>158</v>
      </c>
      <c r="B89" s="72" t="str">
        <f>IF(H15&gt;0,IF(COUNTIF(H16,"")&gt;0,"Error! Missing information for Agg. 2 Size.",""),"")</f>
        <v/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127"/>
    </row>
    <row r="90" spans="1:41" ht="14.1" customHeight="1" x14ac:dyDescent="0.2">
      <c r="A90" s="132" t="s">
        <v>158</v>
      </c>
      <c r="B90" s="72" t="str">
        <f>IF(H15&gt;0,IF(COUNTIF(H17,"")&gt;0,"Error! Missing information for Agg. 2 Type.",""),"")</f>
        <v/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127"/>
    </row>
    <row r="91" spans="1:41" ht="14.1" customHeight="1" x14ac:dyDescent="0.2">
      <c r="A91" s="132" t="s">
        <v>158</v>
      </c>
      <c r="B91" s="72" t="str">
        <f>IF(H15&gt;0,IF(COUNTIF(I19,"")&gt;0,"Error! Missing information for Agg. 2 Producer.",""),"")</f>
        <v/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127"/>
    </row>
    <row r="92" spans="1:41" ht="14.1" customHeight="1" x14ac:dyDescent="0.2">
      <c r="A92" s="132" t="s">
        <v>158</v>
      </c>
      <c r="B92" s="72" t="e">
        <f>IF(H15&gt;0,IF(COUNTIF(#REF!,"")&gt;0,"Error! Missing information for Agg. 2 Redistribution Yard.",""),"")</f>
        <v>#REF!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127"/>
    </row>
    <row r="93" spans="1:41" ht="14.1" customHeight="1" x14ac:dyDescent="0.2">
      <c r="A93" s="132" t="s">
        <v>158</v>
      </c>
      <c r="B93" s="72" t="str">
        <f>IF(H15&gt;0,IF(COUNTIF(I20,"")&gt;0,"Error! Missing information for Agg. 2 % Fractured.",IF(COUNTIF(I20,"*")&gt;0,"Error! Incorrect format for Agg. 2 % Fractured.","")),"")</f>
        <v/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127"/>
    </row>
    <row r="94" spans="1:41" ht="14.1" customHeight="1" x14ac:dyDescent="0.2">
      <c r="A94" s="132" t="s">
        <v>158</v>
      </c>
      <c r="B94" s="72" t="str">
        <f>IF(H15&gt;0,IF(COUNTIF(K21,"")&gt;0,"Error! Missing information for Agg. 2 Sand Equivalent.",IF(COUNTIF(K21,"*")&gt;0,"Error! Incorrect format for Agg. 2 Sand Equivalent.","")),"")</f>
        <v/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127"/>
    </row>
    <row r="95" spans="1:41" ht="14.1" customHeight="1" x14ac:dyDescent="0.2">
      <c r="A95" s="132" t="s">
        <v>158</v>
      </c>
      <c r="B95" s="72" t="str">
        <f>IF(H15&gt;0,IF(COUNTIF(K22,"")&gt;0,"Error! Missing information for Agg. 2 LA Abrasion.",IF(COUNTIF(K22,"*")&gt;0,"Error! Incorrect format for Agg. 2 LA Abrasion.","")),"")</f>
        <v/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127"/>
    </row>
    <row r="96" spans="1:41" ht="14.1" customHeight="1" x14ac:dyDescent="0.2">
      <c r="A96" s="132" t="s">
        <v>158</v>
      </c>
      <c r="B96" s="72" t="str">
        <f>IF(H15&gt;0,IF(COUNTIF(P23,"")&gt;0,"Error! Missing information for Agg. 2 Sodium Sulfate Soundness.",IF(COUNTIF(P23,"*")&gt;0,"Error! Incorrect format for Agg. 2 Sodium Sulfate Soundness.","")),"")</f>
        <v/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127"/>
    </row>
    <row r="97" spans="1:41" ht="14.1" customHeight="1" x14ac:dyDescent="0.2">
      <c r="A97" s="132" t="s">
        <v>158</v>
      </c>
      <c r="B97" s="126" t="str">
        <f>IF(H15&gt;0,IF(COUNTIF(F28:F35,"")&gt;0,"Error! Missing information for Agg. 2 % PASS.",""),"")</f>
        <v/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127"/>
    </row>
    <row r="98" spans="1:41" ht="14.1" customHeight="1" x14ac:dyDescent="0.2">
      <c r="A98" s="132" t="s">
        <v>158</v>
      </c>
      <c r="B98" s="126" t="str">
        <f>IF(H15&gt;0,IF(OR(F29&gt;F28,F30&gt;F29,F31&gt;F30,F32&gt;F31,F33&gt;F32,F34&gt;F33,F35&gt;F34),"Error! Numbers are not sequential for Agg. 2 gradation.",""),"")</f>
        <v/>
      </c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127"/>
    </row>
    <row r="99" spans="1:41" ht="14.1" customHeight="1" x14ac:dyDescent="0.2">
      <c r="A99" s="132" t="s">
        <v>158</v>
      </c>
      <c r="B99" s="126" t="str">
        <f>IF(H15&gt;0,IF(OR(F28&gt;100,F29&gt;100,F30&gt;100,F31&gt;100,F32&gt;100,F33&gt;100,F34&gt;100,F35&gt;100),"Error! % PASS cannot exceed 100% for Agg. 2 gradation.",""),"")</f>
        <v/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127"/>
    </row>
    <row r="100" spans="1:41" ht="14.1" customHeight="1" x14ac:dyDescent="0.2">
      <c r="A100" s="128"/>
      <c r="B100" s="129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1"/>
    </row>
  </sheetData>
  <sheetProtection algorithmName="SHA-512" hashValue="vIdvshYq93Y/AIGT++IUAtUSKZiR8/y/lsaRsqYl9v+9kkJbwE00SnT90vFDaMSeClMe1rgbrHwdWeah83cmcA==" saltValue="uZgQQy6hJ8ODuJfM8nRImg==" spinCount="100000" sheet="1" objects="1" scenarios="1"/>
  <dataConsolidate/>
  <mergeCells count="97">
    <mergeCell ref="A8:AO8"/>
    <mergeCell ref="A9:AO9"/>
    <mergeCell ref="B15:G15"/>
    <mergeCell ref="H15:L15"/>
    <mergeCell ref="B16:G16"/>
    <mergeCell ref="H16:M16"/>
    <mergeCell ref="B21:J21"/>
    <mergeCell ref="K21:O21"/>
    <mergeCell ref="B17:G17"/>
    <mergeCell ref="H17:N17"/>
    <mergeCell ref="B19:H19"/>
    <mergeCell ref="B18:H18"/>
    <mergeCell ref="I18:M18"/>
    <mergeCell ref="B20:H20"/>
    <mergeCell ref="I20:M20"/>
    <mergeCell ref="I19:AE19"/>
    <mergeCell ref="B29:E29"/>
    <mergeCell ref="F29:I29"/>
    <mergeCell ref="AB29:AE29"/>
    <mergeCell ref="B22:J22"/>
    <mergeCell ref="K22:O22"/>
    <mergeCell ref="B23:O23"/>
    <mergeCell ref="P23:T23"/>
    <mergeCell ref="B27:E27"/>
    <mergeCell ref="F27:I27"/>
    <mergeCell ref="B28:E28"/>
    <mergeCell ref="F28:I28"/>
    <mergeCell ref="AB28:AE28"/>
    <mergeCell ref="F33:I33"/>
    <mergeCell ref="B34:E34"/>
    <mergeCell ref="F34:I34"/>
    <mergeCell ref="AB34:AE34"/>
    <mergeCell ref="B30:E30"/>
    <mergeCell ref="F30:I30"/>
    <mergeCell ref="AB30:AE30"/>
    <mergeCell ref="B31:E31"/>
    <mergeCell ref="F31:I31"/>
    <mergeCell ref="AB31:AE31"/>
    <mergeCell ref="B32:E32"/>
    <mergeCell ref="F32:I32"/>
    <mergeCell ref="AB32:AE32"/>
    <mergeCell ref="B33:E33"/>
    <mergeCell ref="B35:E35"/>
    <mergeCell ref="F35:I35"/>
    <mergeCell ref="X37:AA37"/>
    <mergeCell ref="X38:AA38"/>
    <mergeCell ref="X41:AA41"/>
    <mergeCell ref="AD43:AG44"/>
    <mergeCell ref="N45:Q45"/>
    <mergeCell ref="R45:U45"/>
    <mergeCell ref="V45:Y45"/>
    <mergeCell ref="Z45:AC45"/>
    <mergeCell ref="AD45:AG45"/>
    <mergeCell ref="N43:Q44"/>
    <mergeCell ref="R43:U44"/>
    <mergeCell ref="V43:Y44"/>
    <mergeCell ref="Z43:AC44"/>
    <mergeCell ref="N47:Q47"/>
    <mergeCell ref="R47:U47"/>
    <mergeCell ref="V47:Y47"/>
    <mergeCell ref="Z47:AC47"/>
    <mergeCell ref="AD47:AG47"/>
    <mergeCell ref="N46:Q46"/>
    <mergeCell ref="R46:U46"/>
    <mergeCell ref="V46:Y46"/>
    <mergeCell ref="Z46:AC46"/>
    <mergeCell ref="AD46:AG46"/>
    <mergeCell ref="AD48:AG48"/>
    <mergeCell ref="N49:Q49"/>
    <mergeCell ref="R49:U49"/>
    <mergeCell ref="V49:Y49"/>
    <mergeCell ref="Z49:AC49"/>
    <mergeCell ref="AD49:AG49"/>
    <mergeCell ref="N48:Q48"/>
    <mergeCell ref="R48:U48"/>
    <mergeCell ref="V48:Y48"/>
    <mergeCell ref="Z48:AC48"/>
    <mergeCell ref="N51:Q51"/>
    <mergeCell ref="R51:U51"/>
    <mergeCell ref="V51:Y51"/>
    <mergeCell ref="Z51:AC51"/>
    <mergeCell ref="AD51:AG51"/>
    <mergeCell ref="N50:Q50"/>
    <mergeCell ref="R50:U50"/>
    <mergeCell ref="V50:Y50"/>
    <mergeCell ref="Z50:AC50"/>
    <mergeCell ref="AD50:AG50"/>
    <mergeCell ref="Z55:AC55"/>
    <mergeCell ref="AD52:AG52"/>
    <mergeCell ref="N53:Q53"/>
    <mergeCell ref="R53:U53"/>
    <mergeCell ref="V53:Y53"/>
    <mergeCell ref="Z53:AC53"/>
    <mergeCell ref="N52:Q52"/>
    <mergeCell ref="R52:U52"/>
    <mergeCell ref="V52:Y52"/>
    <mergeCell ref="Z52:AC52"/>
  </mergeCells>
  <dataValidations count="3">
    <dataValidation type="whole" allowBlank="1" showInputMessage="1" showErrorMessage="1" sqref="F28:I34">
      <formula1>0</formula1>
      <formula2>100</formula2>
    </dataValidation>
    <dataValidation type="decimal" allowBlank="1" showInputMessage="1" showErrorMessage="1" sqref="I20:M20 F35:I35 K21:O21 K22:O22 P23:T23">
      <formula1>0</formula1>
      <formula2>100</formula2>
    </dataValidation>
    <dataValidation type="decimal" allowBlank="1" showInputMessage="1" showErrorMessage="1" sqref="AB28:AE29 AB31:AE31 X38:AA38 R45:Y53">
      <formula1>0</formula1>
      <formula2>20000</formula2>
    </dataValidation>
  </dataValidations>
  <printOptions horizontalCentered="1"/>
  <pageMargins left="0.5" right="0.5" top="0.5" bottom="0.5" header="0.5" footer="0.5"/>
  <pageSetup scale="55" fitToWidth="0" orientation="portrait" horizontalDpi="300" verticalDpi="300" r:id="rId1"/>
  <headerFooter alignWithMargins="0"/>
  <ignoredErrors>
    <ignoredError sqref="AB30:AE30 X37 Z45:AC55 AB32:AE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'12-Agg Mat Codes'!$B$3:$B$10</xm:f>
          </x14:formula1>
          <xm:sqref>H17:N17</xm:sqref>
        </x14:dataValidation>
        <x14:dataValidation type="list" allowBlank="1" showInputMessage="1" showErrorMessage="1">
          <x14:formula1>
            <xm:f>'12-Agg Mat Codes'!$B$12:$B$21</xm:f>
          </x14:formula1>
          <xm:sqref>H16:M16</xm:sqref>
        </x14:dataValidation>
        <x14:dataValidation type="list" allowBlank="1" showInputMessage="1" showErrorMessage="1">
          <x14:formula1>
            <xm:f>'10-Agg PS Codes'!$A$2:$A$1000</xm:f>
          </x14:formula1>
          <xm:sqref>I19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63"/>
  <sheetViews>
    <sheetView view="pageBreakPreview" zoomScale="85" zoomScaleNormal="90" zoomScaleSheetLayoutView="85" workbookViewId="0">
      <selection activeCell="A10" sqref="A10"/>
    </sheetView>
  </sheetViews>
  <sheetFormatPr defaultColWidth="9.140625" defaultRowHeight="14.1" customHeight="1" x14ac:dyDescent="0.2"/>
  <cols>
    <col min="1" max="41" width="2.85546875" style="51" customWidth="1"/>
    <col min="42" max="16384" width="9.140625" style="51"/>
  </cols>
  <sheetData>
    <row r="1" spans="1:41" ht="14.1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4.1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.1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3.7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4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4.1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1" ht="14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8" customHeight="1" x14ac:dyDescent="0.2">
      <c r="A8" s="280" t="s">
        <v>1193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1:41" ht="18" customHeight="1" x14ac:dyDescent="0.2">
      <c r="A9" s="284" t="s">
        <v>1658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1" ht="18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8" customHeight="1" x14ac:dyDescent="0.2">
      <c r="A11" s="75"/>
      <c r="B11" s="88" t="s">
        <v>1267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6"/>
    </row>
    <row r="12" spans="1:41" ht="8.1" customHeigh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6"/>
    </row>
    <row r="13" spans="1:41" ht="18" customHeight="1" x14ac:dyDescent="0.2">
      <c r="A13" s="75"/>
      <c r="B13" s="101" t="s">
        <v>1342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6"/>
    </row>
    <row r="14" spans="1:41" ht="6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75"/>
      <c r="AL14" s="75"/>
      <c r="AM14" s="75"/>
      <c r="AN14" s="75"/>
      <c r="AO14" s="56"/>
    </row>
    <row r="15" spans="1:41" ht="9.9499999999999993" customHeight="1" x14ac:dyDescent="0.2">
      <c r="A15" s="75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86"/>
      <c r="U15" s="86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86"/>
      <c r="AN15" s="91"/>
      <c r="AO15" s="56"/>
    </row>
    <row r="16" spans="1:41" ht="18" customHeight="1" x14ac:dyDescent="0.2">
      <c r="A16" s="75"/>
      <c r="B16" s="9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1"/>
      <c r="O16" s="61"/>
      <c r="P16" s="61"/>
      <c r="Q16" s="61"/>
      <c r="R16" s="61"/>
      <c r="S16" s="61"/>
      <c r="T16" s="61"/>
      <c r="U16" s="317" t="s">
        <v>1195</v>
      </c>
      <c r="V16" s="317"/>
      <c r="W16" s="317"/>
      <c r="X16" s="317"/>
      <c r="Y16" s="317"/>
      <c r="Z16" s="67"/>
      <c r="AA16" s="67"/>
      <c r="AB16" s="322" t="s">
        <v>1206</v>
      </c>
      <c r="AC16" s="322"/>
      <c r="AD16" s="322"/>
      <c r="AE16" s="322"/>
      <c r="AF16" s="322"/>
      <c r="AG16" s="67"/>
      <c r="AH16" s="67"/>
      <c r="AI16" s="67"/>
      <c r="AJ16" s="67"/>
      <c r="AK16" s="67"/>
      <c r="AL16" s="67"/>
      <c r="AM16" s="61"/>
      <c r="AN16" s="93"/>
      <c r="AO16" s="56"/>
    </row>
    <row r="17" spans="1:41" ht="18" customHeight="1" x14ac:dyDescent="0.2">
      <c r="A17" s="75"/>
      <c r="B17" s="9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94" t="s">
        <v>1272</v>
      </c>
      <c r="N17" s="421">
        <f>IF('JMF SHEET PG 5'!H15&gt;0,ROUND(((('JMF SHEET PG 5'!H15*'JMF SHEET PG 5'!I20)+('JMF SHEET PG 6'!H15*'JMF SHEET PG 6'!I20))/('JMF SHEET PG 5'!H15+'JMF SHEET PG 6'!H15)),1),0)</f>
        <v>100</v>
      </c>
      <c r="O17" s="421"/>
      <c r="P17" s="421"/>
      <c r="Q17" s="421"/>
      <c r="R17" s="421"/>
      <c r="S17" s="61"/>
      <c r="T17" s="61"/>
      <c r="U17" s="422">
        <v>100</v>
      </c>
      <c r="V17" s="423"/>
      <c r="W17" s="423"/>
      <c r="X17" s="423"/>
      <c r="Y17" s="424"/>
      <c r="Z17" s="67"/>
      <c r="AA17" s="67"/>
      <c r="AB17" s="427" t="str">
        <f>IF(N17=100,"Pass","Fail")</f>
        <v>Pass</v>
      </c>
      <c r="AC17" s="427"/>
      <c r="AD17" s="427"/>
      <c r="AE17" s="427"/>
      <c r="AF17" s="427"/>
      <c r="AG17" s="67"/>
      <c r="AH17" s="67"/>
      <c r="AI17" s="67"/>
      <c r="AJ17" s="67"/>
      <c r="AK17" s="67"/>
      <c r="AL17" s="67"/>
      <c r="AM17" s="61"/>
      <c r="AN17" s="93"/>
      <c r="AO17" s="56"/>
    </row>
    <row r="18" spans="1:41" ht="6" customHeight="1" x14ac:dyDescent="0.2">
      <c r="A18" s="75"/>
      <c r="B18" s="92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1"/>
      <c r="X18" s="61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1"/>
      <c r="AN18" s="93"/>
      <c r="AO18" s="56"/>
    </row>
    <row r="19" spans="1:41" ht="18" customHeight="1" x14ac:dyDescent="0.2">
      <c r="A19" s="75"/>
      <c r="B19" s="92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94" t="s">
        <v>1273</v>
      </c>
      <c r="N19" s="421">
        <f>IF('JMF SHEET PG 5'!H15&gt;0,ROUND(((('JMF SHEET PG 5'!H15*'JMF SHEET PG 5'!K21)+('JMF SHEET PG 6'!H15*'JMF SHEET PG 6'!K21))/('JMF SHEET PG 5'!H15+'JMF SHEET PG 6'!H15)),1),0)</f>
        <v>81.5</v>
      </c>
      <c r="O19" s="421"/>
      <c r="P19" s="421"/>
      <c r="Q19" s="421"/>
      <c r="R19" s="421"/>
      <c r="S19" s="61"/>
      <c r="T19" s="61"/>
      <c r="U19" s="422" t="s">
        <v>1592</v>
      </c>
      <c r="V19" s="423"/>
      <c r="W19" s="423"/>
      <c r="X19" s="423"/>
      <c r="Y19" s="424"/>
      <c r="Z19" s="67"/>
      <c r="AA19" s="67"/>
      <c r="AB19" s="421" t="str">
        <f>IF(N19&gt;=55,"Pass","Fail")</f>
        <v>Pass</v>
      </c>
      <c r="AC19" s="421"/>
      <c r="AD19" s="421"/>
      <c r="AE19" s="421"/>
      <c r="AF19" s="421"/>
      <c r="AG19" s="67"/>
      <c r="AH19" s="67"/>
      <c r="AI19" s="67"/>
      <c r="AJ19" s="67"/>
      <c r="AK19" s="67"/>
      <c r="AL19" s="67"/>
      <c r="AM19" s="61"/>
      <c r="AN19" s="93"/>
      <c r="AO19" s="56"/>
    </row>
    <row r="20" spans="1:41" ht="6" customHeight="1" x14ac:dyDescent="0.2">
      <c r="A20" s="75"/>
      <c r="B20" s="9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1"/>
      <c r="X20" s="61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1"/>
      <c r="AN20" s="93"/>
      <c r="AO20" s="56"/>
    </row>
    <row r="21" spans="1:41" ht="18" customHeight="1" x14ac:dyDescent="0.2">
      <c r="A21" s="75"/>
      <c r="B21" s="92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94" t="s">
        <v>1346</v>
      </c>
      <c r="N21" s="421">
        <f>IF('JMF SHEET PG 5'!H15&gt;0,ROUND(((('JMF SHEET PG 5'!H15*'JMF SHEET PG 5'!K22)+('JMF SHEET PG 6'!H15*'JMF SHEET PG 6'!K22))/('JMF SHEET PG 5'!H15+'JMF SHEET PG 6'!H15)),1),0)</f>
        <v>11.5</v>
      </c>
      <c r="O21" s="421"/>
      <c r="P21" s="421"/>
      <c r="Q21" s="421"/>
      <c r="R21" s="421"/>
      <c r="S21" s="61"/>
      <c r="T21" s="61"/>
      <c r="U21" s="422" t="s">
        <v>1348</v>
      </c>
      <c r="V21" s="423"/>
      <c r="W21" s="423"/>
      <c r="X21" s="423"/>
      <c r="Y21" s="424"/>
      <c r="Z21" s="67"/>
      <c r="AA21" s="67"/>
      <c r="AB21" s="421" t="str">
        <f>IF(N21&lt;=40,"Pass","Fail")</f>
        <v>Pass</v>
      </c>
      <c r="AC21" s="421"/>
      <c r="AD21" s="421"/>
      <c r="AE21" s="421"/>
      <c r="AF21" s="421"/>
      <c r="AG21" s="67"/>
      <c r="AH21" s="67"/>
      <c r="AI21" s="67"/>
      <c r="AJ21" s="67"/>
      <c r="AK21" s="67"/>
      <c r="AL21" s="67"/>
      <c r="AM21" s="61"/>
      <c r="AN21" s="93"/>
      <c r="AO21" s="56"/>
    </row>
    <row r="22" spans="1:41" ht="6" customHeight="1" x14ac:dyDescent="0.2">
      <c r="A22" s="75"/>
      <c r="B22" s="92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1"/>
      <c r="X22" s="61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1"/>
      <c r="AN22" s="93"/>
      <c r="AO22" s="56"/>
    </row>
    <row r="23" spans="1:41" ht="18" customHeight="1" x14ac:dyDescent="0.2">
      <c r="A23" s="75"/>
      <c r="B23" s="92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94" t="s">
        <v>1347</v>
      </c>
      <c r="N23" s="421">
        <f>IF('JMF SHEET PG 5'!H15&gt;0,ROUND(((('JMF SHEET PG 5'!H15*'JMF SHEET PG 5'!P23)+('JMF SHEET PG 6'!H15*'JMF SHEET PG 6'!P23))/('JMF SHEET PG 5'!H15+'JMF SHEET PG 6'!H15)),1),0)</f>
        <v>5.5</v>
      </c>
      <c r="O23" s="421"/>
      <c r="P23" s="421"/>
      <c r="Q23" s="421"/>
      <c r="R23" s="421"/>
      <c r="S23" s="61"/>
      <c r="T23" s="61"/>
      <c r="U23" s="422" t="s">
        <v>1349</v>
      </c>
      <c r="V23" s="423"/>
      <c r="W23" s="423"/>
      <c r="X23" s="423"/>
      <c r="Y23" s="424"/>
      <c r="Z23" s="67"/>
      <c r="AA23" s="67"/>
      <c r="AB23" s="421" t="str">
        <f>IF(N23&lt;=15,"Pass","Fail")</f>
        <v>Pass</v>
      </c>
      <c r="AC23" s="421"/>
      <c r="AD23" s="421"/>
      <c r="AE23" s="421"/>
      <c r="AF23" s="421"/>
      <c r="AG23" s="67"/>
      <c r="AH23" s="67"/>
      <c r="AI23" s="67"/>
      <c r="AJ23" s="67"/>
      <c r="AK23" s="67"/>
      <c r="AL23" s="67"/>
      <c r="AM23" s="61"/>
      <c r="AN23" s="93"/>
      <c r="AO23" s="56"/>
    </row>
    <row r="24" spans="1:41" ht="9.9499999999999993" customHeight="1" x14ac:dyDescent="0.2">
      <c r="A24" s="75"/>
      <c r="B24" s="96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151"/>
      <c r="X24" s="151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151"/>
      <c r="AN24" s="97"/>
      <c r="AO24" s="56"/>
    </row>
    <row r="25" spans="1:41" ht="18" customHeight="1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6"/>
    </row>
    <row r="26" spans="1:41" ht="18" customHeight="1" x14ac:dyDescent="0.2">
      <c r="A26" s="75"/>
      <c r="B26" s="101" t="s">
        <v>1341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6"/>
    </row>
    <row r="27" spans="1:41" ht="6" customHeight="1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75"/>
      <c r="AL27" s="75"/>
      <c r="AM27" s="75"/>
      <c r="AN27" s="75"/>
      <c r="AO27" s="56"/>
    </row>
    <row r="28" spans="1:41" ht="18" customHeight="1" x14ac:dyDescent="0.2">
      <c r="A28" s="75"/>
      <c r="B28" s="75"/>
      <c r="C28" s="75"/>
      <c r="D28" s="75"/>
      <c r="E28" s="75"/>
      <c r="F28" s="426" t="s">
        <v>1344</v>
      </c>
      <c r="G28" s="426"/>
      <c r="H28" s="426"/>
      <c r="I28" s="426"/>
      <c r="J28" s="426"/>
      <c r="K28" s="426"/>
      <c r="L28" s="426"/>
      <c r="M28" s="426"/>
      <c r="N28" s="103"/>
      <c r="O28" s="103"/>
      <c r="P28" s="103"/>
      <c r="Q28" s="75"/>
      <c r="R28" s="426" t="s">
        <v>1545</v>
      </c>
      <c r="S28" s="426"/>
      <c r="T28" s="426"/>
      <c r="U28" s="426"/>
      <c r="V28" s="426"/>
      <c r="W28" s="426"/>
      <c r="X28" s="426"/>
      <c r="Y28" s="426"/>
      <c r="Z28" s="103"/>
      <c r="AA28" s="103"/>
      <c r="AB28" s="103"/>
      <c r="AC28" s="75"/>
      <c r="AD28" s="50"/>
      <c r="AE28" s="50"/>
      <c r="AF28" s="50"/>
      <c r="AG28" s="50"/>
      <c r="AH28" s="50"/>
      <c r="AI28" s="50"/>
      <c r="AJ28" s="50"/>
      <c r="AK28" s="75"/>
      <c r="AL28" s="75"/>
      <c r="AM28" s="75"/>
      <c r="AN28" s="75"/>
      <c r="AO28" s="56"/>
    </row>
    <row r="29" spans="1:41" ht="18" customHeight="1" x14ac:dyDescent="0.2">
      <c r="A29" s="75"/>
      <c r="B29" s="75"/>
      <c r="C29" s="75"/>
      <c r="D29" s="75"/>
      <c r="E29" s="75"/>
      <c r="F29" s="275" t="s">
        <v>1253</v>
      </c>
      <c r="G29" s="275"/>
      <c r="H29" s="275"/>
      <c r="I29" s="275"/>
      <c r="J29" s="275" t="s">
        <v>1266</v>
      </c>
      <c r="K29" s="275"/>
      <c r="L29" s="275"/>
      <c r="M29" s="275"/>
      <c r="N29" s="67"/>
      <c r="O29" s="67"/>
      <c r="P29" s="67"/>
      <c r="Q29" s="67"/>
      <c r="R29" s="275" t="s">
        <v>1253</v>
      </c>
      <c r="S29" s="275"/>
      <c r="T29" s="275"/>
      <c r="U29" s="275"/>
      <c r="V29" s="275" t="s">
        <v>1266</v>
      </c>
      <c r="W29" s="275"/>
      <c r="X29" s="275"/>
      <c r="Y29" s="275"/>
      <c r="Z29" s="67"/>
      <c r="AA29" s="67"/>
      <c r="AB29" s="67"/>
      <c r="AC29" s="67"/>
      <c r="AD29" s="425" t="s">
        <v>31</v>
      </c>
      <c r="AE29" s="425"/>
      <c r="AF29" s="425"/>
      <c r="AG29" s="425"/>
      <c r="AH29" s="425"/>
      <c r="AI29" s="425"/>
      <c r="AJ29" s="425"/>
      <c r="AK29" s="425"/>
      <c r="AL29" s="75"/>
      <c r="AM29" s="75"/>
      <c r="AN29" s="75"/>
      <c r="AO29" s="56"/>
    </row>
    <row r="30" spans="1:41" ht="18" customHeight="1" x14ac:dyDescent="0.2">
      <c r="A30" s="75"/>
      <c r="B30" s="75"/>
      <c r="C30" s="75"/>
      <c r="D30" s="75"/>
      <c r="E30" s="75"/>
      <c r="F30" s="413">
        <f>'JMF SHEET PG 5'!H15</f>
        <v>50</v>
      </c>
      <c r="G30" s="413"/>
      <c r="H30" s="413"/>
      <c r="I30" s="413"/>
      <c r="J30" s="413">
        <f>'JMF SHEET PG 6'!H15</f>
        <v>50</v>
      </c>
      <c r="K30" s="413"/>
      <c r="L30" s="413"/>
      <c r="M30" s="413"/>
      <c r="N30" s="275" t="s">
        <v>1343</v>
      </c>
      <c r="O30" s="275"/>
      <c r="P30" s="275"/>
      <c r="Q30" s="275"/>
      <c r="R30" s="413">
        <f>'JMF SHEET PG 5'!H15</f>
        <v>50</v>
      </c>
      <c r="S30" s="413"/>
      <c r="T30" s="413"/>
      <c r="U30" s="413"/>
      <c r="V30" s="413">
        <f>'JMF SHEET PG 6'!H15</f>
        <v>50</v>
      </c>
      <c r="W30" s="413"/>
      <c r="X30" s="413"/>
      <c r="Y30" s="413"/>
      <c r="Z30" s="275" t="s">
        <v>1547</v>
      </c>
      <c r="AA30" s="275"/>
      <c r="AB30" s="275"/>
      <c r="AC30" s="275"/>
      <c r="AD30" s="322" t="s">
        <v>1274</v>
      </c>
      <c r="AE30" s="322"/>
      <c r="AF30" s="322"/>
      <c r="AG30" s="322"/>
      <c r="AH30" s="322" t="s">
        <v>1275</v>
      </c>
      <c r="AI30" s="322"/>
      <c r="AJ30" s="322"/>
      <c r="AK30" s="322"/>
      <c r="AL30" s="75"/>
      <c r="AM30" s="67"/>
      <c r="AN30" s="67"/>
      <c r="AO30" s="56"/>
    </row>
    <row r="31" spans="1:41" ht="18" customHeight="1" thickBot="1" x14ac:dyDescent="0.25">
      <c r="A31" s="75"/>
      <c r="B31" s="380" t="s">
        <v>10</v>
      </c>
      <c r="C31" s="381"/>
      <c r="D31" s="381"/>
      <c r="E31" s="381"/>
      <c r="F31" s="382" t="s">
        <v>1268</v>
      </c>
      <c r="G31" s="383"/>
      <c r="H31" s="383"/>
      <c r="I31" s="383"/>
      <c r="J31" s="382" t="s">
        <v>1268</v>
      </c>
      <c r="K31" s="383"/>
      <c r="L31" s="383"/>
      <c r="M31" s="383"/>
      <c r="N31" s="416" t="s">
        <v>1268</v>
      </c>
      <c r="O31" s="416"/>
      <c r="P31" s="416"/>
      <c r="Q31" s="416"/>
      <c r="R31" s="382" t="s">
        <v>1268</v>
      </c>
      <c r="S31" s="383"/>
      <c r="T31" s="383"/>
      <c r="U31" s="383"/>
      <c r="V31" s="382" t="s">
        <v>1268</v>
      </c>
      <c r="W31" s="383"/>
      <c r="X31" s="383"/>
      <c r="Y31" s="383"/>
      <c r="Z31" s="416" t="s">
        <v>1268</v>
      </c>
      <c r="AA31" s="416"/>
      <c r="AB31" s="416"/>
      <c r="AC31" s="416"/>
      <c r="AD31" s="416" t="s">
        <v>1268</v>
      </c>
      <c r="AE31" s="416"/>
      <c r="AF31" s="416"/>
      <c r="AG31" s="416"/>
      <c r="AH31" s="416" t="s">
        <v>1268</v>
      </c>
      <c r="AI31" s="416"/>
      <c r="AJ31" s="416"/>
      <c r="AK31" s="416"/>
      <c r="AL31" s="75"/>
      <c r="AM31" s="67"/>
      <c r="AN31" s="67"/>
      <c r="AO31" s="56"/>
    </row>
    <row r="32" spans="1:41" ht="18" customHeight="1" thickTop="1" x14ac:dyDescent="0.2">
      <c r="A32" s="75"/>
      <c r="B32" s="374" t="s">
        <v>16</v>
      </c>
      <c r="C32" s="375"/>
      <c r="D32" s="375"/>
      <c r="E32" s="375"/>
      <c r="F32" s="411">
        <f>'JMF SHEET PG 5'!F28</f>
        <v>100</v>
      </c>
      <c r="G32" s="412"/>
      <c r="H32" s="412"/>
      <c r="I32" s="412"/>
      <c r="J32" s="411">
        <f>'JMF SHEET PG 6'!F28</f>
        <v>100</v>
      </c>
      <c r="K32" s="412"/>
      <c r="L32" s="412"/>
      <c r="M32" s="412"/>
      <c r="N32" s="414">
        <f>IFERROR(ROUND((($F$30*F32)+($J$30*J32))/100,0),"")</f>
        <v>100</v>
      </c>
      <c r="O32" s="414"/>
      <c r="P32" s="414"/>
      <c r="Q32" s="414"/>
      <c r="R32" s="411">
        <f>'JMF SHEET PG 5'!AD45</f>
        <v>100</v>
      </c>
      <c r="S32" s="412"/>
      <c r="T32" s="412"/>
      <c r="U32" s="412"/>
      <c r="V32" s="411">
        <f>'JMF SHEET PG 6'!AD45</f>
        <v>100</v>
      </c>
      <c r="W32" s="412"/>
      <c r="X32" s="412"/>
      <c r="Y32" s="412"/>
      <c r="Z32" s="414">
        <f>IFERROR(ROUND((($R$30*R32)+($V$30*V32))/100,0),"")</f>
        <v>100</v>
      </c>
      <c r="AA32" s="414"/>
      <c r="AB32" s="414"/>
      <c r="AC32" s="414"/>
      <c r="AD32" s="415">
        <f>IF('GRAPH DATA'!X5&gt;0,'GRAPH DATA'!X5,"")</f>
        <v>100</v>
      </c>
      <c r="AE32" s="415"/>
      <c r="AF32" s="415"/>
      <c r="AG32" s="415"/>
      <c r="AH32" s="415">
        <f>IF('GRAPH DATA'!Y5&gt;0,'GRAPH DATA'!Y5,"")</f>
        <v>100</v>
      </c>
      <c r="AI32" s="415"/>
      <c r="AJ32" s="415"/>
      <c r="AK32" s="415"/>
      <c r="AL32" s="75"/>
      <c r="AM32" s="67"/>
      <c r="AN32" s="67"/>
      <c r="AO32" s="56"/>
    </row>
    <row r="33" spans="1:41" ht="18" customHeight="1" x14ac:dyDescent="0.2">
      <c r="A33" s="75"/>
      <c r="B33" s="374" t="s">
        <v>17</v>
      </c>
      <c r="C33" s="375"/>
      <c r="D33" s="375"/>
      <c r="E33" s="375"/>
      <c r="F33" s="411">
        <f>'JMF SHEET PG 5'!F29</f>
        <v>94</v>
      </c>
      <c r="G33" s="412"/>
      <c r="H33" s="412"/>
      <c r="I33" s="412"/>
      <c r="J33" s="411">
        <f>'JMF SHEET PG 6'!F29</f>
        <v>90</v>
      </c>
      <c r="K33" s="412"/>
      <c r="L33" s="412"/>
      <c r="M33" s="412"/>
      <c r="N33" s="414">
        <f t="shared" ref="N33:N39" si="0">IFERROR(ROUND((($F$30*F33)+($J$30*J33))/100,0),"")</f>
        <v>92</v>
      </c>
      <c r="O33" s="414"/>
      <c r="P33" s="414"/>
      <c r="Q33" s="414"/>
      <c r="R33" s="411">
        <f>'JMF SHEET PG 5'!AD46</f>
        <v>94</v>
      </c>
      <c r="S33" s="412"/>
      <c r="T33" s="412"/>
      <c r="U33" s="412"/>
      <c r="V33" s="411">
        <f>'JMF SHEET PG 6'!AD46</f>
        <v>96</v>
      </c>
      <c r="W33" s="412"/>
      <c r="X33" s="412"/>
      <c r="Y33" s="412"/>
      <c r="Z33" s="414">
        <f t="shared" ref="Z33:Z39" si="1">IFERROR(ROUND((($R$30*R33)+($V$30*V33))/100,0),"")</f>
        <v>95</v>
      </c>
      <c r="AA33" s="414"/>
      <c r="AB33" s="414"/>
      <c r="AC33" s="414"/>
      <c r="AD33" s="415">
        <f>IF('GRAPH DATA'!X6&gt;0,'GRAPH DATA'!X6,"")</f>
        <v>85</v>
      </c>
      <c r="AE33" s="415"/>
      <c r="AF33" s="415"/>
      <c r="AG33" s="415"/>
      <c r="AH33" s="415">
        <f>IF('GRAPH DATA'!Y6&gt;0,'GRAPH DATA'!Y6,"")</f>
        <v>100</v>
      </c>
      <c r="AI33" s="415"/>
      <c r="AJ33" s="415"/>
      <c r="AK33" s="415"/>
      <c r="AL33" s="75"/>
      <c r="AM33" s="67"/>
      <c r="AN33" s="67"/>
      <c r="AO33" s="56"/>
    </row>
    <row r="34" spans="1:41" ht="18" customHeight="1" x14ac:dyDescent="0.2">
      <c r="A34" s="75"/>
      <c r="B34" s="374" t="s">
        <v>18</v>
      </c>
      <c r="C34" s="375"/>
      <c r="D34" s="375"/>
      <c r="E34" s="375"/>
      <c r="F34" s="411">
        <f>'JMF SHEET PG 5'!F30</f>
        <v>76</v>
      </c>
      <c r="G34" s="412"/>
      <c r="H34" s="412"/>
      <c r="I34" s="412"/>
      <c r="J34" s="411">
        <f>'JMF SHEET PG 6'!F30</f>
        <v>75</v>
      </c>
      <c r="K34" s="412"/>
      <c r="L34" s="412"/>
      <c r="M34" s="412"/>
      <c r="N34" s="414">
        <f t="shared" si="0"/>
        <v>76</v>
      </c>
      <c r="O34" s="414"/>
      <c r="P34" s="414"/>
      <c r="Q34" s="414"/>
      <c r="R34" s="411">
        <f>'JMF SHEET PG 5'!AD47</f>
        <v>79</v>
      </c>
      <c r="S34" s="412"/>
      <c r="T34" s="412"/>
      <c r="U34" s="412"/>
      <c r="V34" s="411">
        <f>'JMF SHEET PG 6'!AD47</f>
        <v>82</v>
      </c>
      <c r="W34" s="412"/>
      <c r="X34" s="412"/>
      <c r="Y34" s="412"/>
      <c r="Z34" s="414">
        <f t="shared" si="1"/>
        <v>81</v>
      </c>
      <c r="AA34" s="414"/>
      <c r="AB34" s="414"/>
      <c r="AC34" s="414"/>
      <c r="AD34" s="415">
        <f>IF('GRAPH DATA'!X7&gt;0,'GRAPH DATA'!X7,"")</f>
        <v>50</v>
      </c>
      <c r="AE34" s="415"/>
      <c r="AF34" s="415"/>
      <c r="AG34" s="415"/>
      <c r="AH34" s="415">
        <f>IF('GRAPH DATA'!Y7&gt;0,'GRAPH DATA'!Y7,"")</f>
        <v>80</v>
      </c>
      <c r="AI34" s="415"/>
      <c r="AJ34" s="415"/>
      <c r="AK34" s="415"/>
      <c r="AL34" s="75"/>
      <c r="AM34" s="67"/>
      <c r="AN34" s="67"/>
      <c r="AO34" s="56"/>
    </row>
    <row r="35" spans="1:41" ht="18" customHeight="1" x14ac:dyDescent="0.2">
      <c r="A35" s="75"/>
      <c r="B35" s="374" t="s">
        <v>19</v>
      </c>
      <c r="C35" s="375"/>
      <c r="D35" s="375"/>
      <c r="E35" s="375"/>
      <c r="F35" s="411">
        <f>'JMF SHEET PG 5'!F31</f>
        <v>52</v>
      </c>
      <c r="G35" s="412"/>
      <c r="H35" s="412"/>
      <c r="I35" s="412"/>
      <c r="J35" s="411">
        <f>'JMF SHEET PG 6'!F31</f>
        <v>57</v>
      </c>
      <c r="K35" s="412"/>
      <c r="L35" s="412"/>
      <c r="M35" s="412"/>
      <c r="N35" s="414">
        <f t="shared" si="0"/>
        <v>55</v>
      </c>
      <c r="O35" s="414"/>
      <c r="P35" s="414"/>
      <c r="Q35" s="414"/>
      <c r="R35" s="411">
        <f>'JMF SHEET PG 5'!AD48</f>
        <v>52</v>
      </c>
      <c r="S35" s="412"/>
      <c r="T35" s="412"/>
      <c r="U35" s="412"/>
      <c r="V35" s="411">
        <f>'JMF SHEET PG 6'!AD48</f>
        <v>57</v>
      </c>
      <c r="W35" s="412"/>
      <c r="X35" s="412"/>
      <c r="Y35" s="412"/>
      <c r="Z35" s="414">
        <f t="shared" si="1"/>
        <v>55</v>
      </c>
      <c r="AA35" s="414"/>
      <c r="AB35" s="414"/>
      <c r="AC35" s="414"/>
      <c r="AD35" s="415">
        <f>IF('GRAPH DATA'!X8&gt;0,'GRAPH DATA'!X8,"")</f>
        <v>40</v>
      </c>
      <c r="AE35" s="415"/>
      <c r="AF35" s="415"/>
      <c r="AG35" s="415"/>
      <c r="AH35" s="415">
        <f>IF('GRAPH DATA'!Y8&gt;0,'GRAPH DATA'!Y8,"")</f>
        <v>65</v>
      </c>
      <c r="AI35" s="415"/>
      <c r="AJ35" s="415"/>
      <c r="AK35" s="415"/>
      <c r="AL35" s="75"/>
      <c r="AM35" s="67"/>
      <c r="AN35" s="67"/>
      <c r="AO35" s="56"/>
    </row>
    <row r="36" spans="1:41" ht="18" customHeight="1" x14ac:dyDescent="0.2">
      <c r="A36" s="75"/>
      <c r="B36" s="374" t="s">
        <v>20</v>
      </c>
      <c r="C36" s="375"/>
      <c r="D36" s="375"/>
      <c r="E36" s="375"/>
      <c r="F36" s="411">
        <f>'JMF SHEET PG 5'!F32</f>
        <v>34</v>
      </c>
      <c r="G36" s="412"/>
      <c r="H36" s="412"/>
      <c r="I36" s="412"/>
      <c r="J36" s="411">
        <f>'JMF SHEET PG 6'!F32</f>
        <v>29</v>
      </c>
      <c r="K36" s="412"/>
      <c r="L36" s="412"/>
      <c r="M36" s="412"/>
      <c r="N36" s="414">
        <f t="shared" si="0"/>
        <v>32</v>
      </c>
      <c r="O36" s="414"/>
      <c r="P36" s="414"/>
      <c r="Q36" s="414"/>
      <c r="R36" s="411">
        <f>'JMF SHEET PG 5'!AD49</f>
        <v>33</v>
      </c>
      <c r="S36" s="412"/>
      <c r="T36" s="412"/>
      <c r="U36" s="412"/>
      <c r="V36" s="411">
        <f>'JMF SHEET PG 6'!AD49</f>
        <v>37</v>
      </c>
      <c r="W36" s="412"/>
      <c r="X36" s="412"/>
      <c r="Y36" s="412"/>
      <c r="Z36" s="414">
        <f t="shared" si="1"/>
        <v>35</v>
      </c>
      <c r="AA36" s="414"/>
      <c r="AB36" s="414"/>
      <c r="AC36" s="414"/>
      <c r="AD36" s="415">
        <f>IF('GRAPH DATA'!X9&gt;0,'GRAPH DATA'!X9,"")</f>
        <v>25</v>
      </c>
      <c r="AE36" s="415"/>
      <c r="AF36" s="415"/>
      <c r="AG36" s="415"/>
      <c r="AH36" s="415">
        <f>IF('GRAPH DATA'!Y9&gt;0,'GRAPH DATA'!Y9,"")</f>
        <v>45</v>
      </c>
      <c r="AI36" s="415"/>
      <c r="AJ36" s="415"/>
      <c r="AK36" s="415"/>
      <c r="AL36" s="75"/>
      <c r="AM36" s="67"/>
      <c r="AN36" s="67"/>
      <c r="AO36" s="56"/>
    </row>
    <row r="37" spans="1:41" ht="18" customHeight="1" x14ac:dyDescent="0.2">
      <c r="A37" s="75"/>
      <c r="B37" s="374" t="s">
        <v>21</v>
      </c>
      <c r="C37" s="375"/>
      <c r="D37" s="375"/>
      <c r="E37" s="375"/>
      <c r="F37" s="411">
        <f>'JMF SHEET PG 5'!F33</f>
        <v>22</v>
      </c>
      <c r="G37" s="412"/>
      <c r="H37" s="412"/>
      <c r="I37" s="412"/>
      <c r="J37" s="411">
        <f>'JMF SHEET PG 6'!F33</f>
        <v>18</v>
      </c>
      <c r="K37" s="412"/>
      <c r="L37" s="412"/>
      <c r="M37" s="412"/>
      <c r="N37" s="414">
        <f t="shared" si="0"/>
        <v>20</v>
      </c>
      <c r="O37" s="414"/>
      <c r="P37" s="414"/>
      <c r="Q37" s="414"/>
      <c r="R37" s="411">
        <f>'JMF SHEET PG 5'!AD50</f>
        <v>20</v>
      </c>
      <c r="S37" s="412"/>
      <c r="T37" s="412"/>
      <c r="U37" s="412"/>
      <c r="V37" s="411">
        <f>'JMF SHEET PG 6'!AD50</f>
        <v>23</v>
      </c>
      <c r="W37" s="412"/>
      <c r="X37" s="412"/>
      <c r="Y37" s="412"/>
      <c r="Z37" s="414">
        <f t="shared" si="1"/>
        <v>22</v>
      </c>
      <c r="AA37" s="414"/>
      <c r="AB37" s="414"/>
      <c r="AC37" s="414"/>
      <c r="AD37" s="415">
        <f>IF('GRAPH DATA'!X10&gt;0,'GRAPH DATA'!X10,"")</f>
        <v>13</v>
      </c>
      <c r="AE37" s="415"/>
      <c r="AF37" s="415"/>
      <c r="AG37" s="415"/>
      <c r="AH37" s="415">
        <f>IF('GRAPH DATA'!Y10&gt;0,'GRAPH DATA'!Y10,"")</f>
        <v>25</v>
      </c>
      <c r="AI37" s="415"/>
      <c r="AJ37" s="415"/>
      <c r="AK37" s="415"/>
      <c r="AL37" s="75"/>
      <c r="AM37" s="67"/>
      <c r="AN37" s="67"/>
      <c r="AO37" s="56"/>
    </row>
    <row r="38" spans="1:41" ht="18" customHeight="1" x14ac:dyDescent="0.2">
      <c r="A38" s="75"/>
      <c r="B38" s="374" t="s">
        <v>22</v>
      </c>
      <c r="C38" s="375"/>
      <c r="D38" s="375"/>
      <c r="E38" s="375"/>
      <c r="F38" s="411">
        <f>'JMF SHEET PG 5'!F34</f>
        <v>14</v>
      </c>
      <c r="G38" s="412"/>
      <c r="H38" s="412"/>
      <c r="I38" s="412"/>
      <c r="J38" s="411">
        <f>'JMF SHEET PG 6'!F34</f>
        <v>14</v>
      </c>
      <c r="K38" s="412"/>
      <c r="L38" s="412"/>
      <c r="M38" s="412"/>
      <c r="N38" s="414">
        <f t="shared" si="0"/>
        <v>14</v>
      </c>
      <c r="O38" s="414"/>
      <c r="P38" s="414"/>
      <c r="Q38" s="414"/>
      <c r="R38" s="411">
        <f>'JMF SHEET PG 5'!AD51</f>
        <v>12</v>
      </c>
      <c r="S38" s="412"/>
      <c r="T38" s="412"/>
      <c r="U38" s="412"/>
      <c r="V38" s="411">
        <f>'JMF SHEET PG 6'!AD51</f>
        <v>13</v>
      </c>
      <c r="W38" s="412"/>
      <c r="X38" s="412"/>
      <c r="Y38" s="412"/>
      <c r="Z38" s="414">
        <f t="shared" si="1"/>
        <v>13</v>
      </c>
      <c r="AA38" s="414"/>
      <c r="AB38" s="414"/>
      <c r="AC38" s="414"/>
      <c r="AD38" s="415" t="str">
        <f>IF('GRAPH DATA'!X11&gt;0,'GRAPH DATA'!X11,"")</f>
        <v/>
      </c>
      <c r="AE38" s="415"/>
      <c r="AF38" s="415"/>
      <c r="AG38" s="415"/>
      <c r="AH38" s="415" t="str">
        <f>IF('GRAPH DATA'!Y11&gt;0,'GRAPH DATA'!Y11,"")</f>
        <v/>
      </c>
      <c r="AI38" s="415"/>
      <c r="AJ38" s="415"/>
      <c r="AK38" s="415"/>
      <c r="AL38" s="75"/>
      <c r="AM38" s="67"/>
      <c r="AN38" s="67"/>
      <c r="AO38" s="56"/>
    </row>
    <row r="39" spans="1:41" ht="18" customHeight="1" x14ac:dyDescent="0.2">
      <c r="A39" s="75"/>
      <c r="B39" s="394" t="s">
        <v>32</v>
      </c>
      <c r="C39" s="395"/>
      <c r="D39" s="395"/>
      <c r="E39" s="395"/>
      <c r="F39" s="418">
        <f>'JMF SHEET PG 5'!F35</f>
        <v>8</v>
      </c>
      <c r="G39" s="419"/>
      <c r="H39" s="419"/>
      <c r="I39" s="419"/>
      <c r="J39" s="418">
        <f>'JMF SHEET PG 6'!F35</f>
        <v>5</v>
      </c>
      <c r="K39" s="419"/>
      <c r="L39" s="419"/>
      <c r="M39" s="419"/>
      <c r="N39" s="420">
        <f t="shared" si="0"/>
        <v>7</v>
      </c>
      <c r="O39" s="420"/>
      <c r="P39" s="420"/>
      <c r="Q39" s="420"/>
      <c r="R39" s="418">
        <f>'JMF SHEET PG 5'!AD52</f>
        <v>7.2</v>
      </c>
      <c r="S39" s="419"/>
      <c r="T39" s="419"/>
      <c r="U39" s="419"/>
      <c r="V39" s="418">
        <f>'JMF SHEET PG 6'!AD52</f>
        <v>7.4</v>
      </c>
      <c r="W39" s="419"/>
      <c r="X39" s="419"/>
      <c r="Y39" s="419"/>
      <c r="Z39" s="420">
        <f t="shared" si="1"/>
        <v>7</v>
      </c>
      <c r="AA39" s="420"/>
      <c r="AB39" s="420"/>
      <c r="AC39" s="420"/>
      <c r="AD39" s="417">
        <f>IF('GRAPH DATA'!X12&gt;0,'GRAPH DATA'!X12,"")</f>
        <v>5</v>
      </c>
      <c r="AE39" s="417"/>
      <c r="AF39" s="417"/>
      <c r="AG39" s="417"/>
      <c r="AH39" s="417">
        <f>IF('GRAPH DATA'!Y12&gt;0,'GRAPH DATA'!Y12,"")</f>
        <v>15</v>
      </c>
      <c r="AI39" s="417"/>
      <c r="AJ39" s="417"/>
      <c r="AK39" s="417"/>
      <c r="AL39" s="75"/>
      <c r="AM39" s="67"/>
      <c r="AN39" s="67"/>
      <c r="AO39" s="56"/>
    </row>
    <row r="40" spans="1:41" ht="18" customHeigh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50"/>
      <c r="V40" s="50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56"/>
    </row>
    <row r="41" spans="1:41" ht="18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50"/>
      <c r="V41" s="50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56"/>
    </row>
    <row r="42" spans="1:41" ht="18" customHeigh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50"/>
      <c r="V42" s="50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56"/>
    </row>
    <row r="43" spans="1:41" ht="18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50"/>
      <c r="V43" s="50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56"/>
    </row>
    <row r="44" spans="1:41" ht="18" customHeight="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50"/>
      <c r="V44" s="50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56"/>
    </row>
    <row r="45" spans="1:41" ht="18" customHeight="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50"/>
      <c r="V45" s="50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56"/>
    </row>
    <row r="46" spans="1:41" ht="18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50"/>
      <c r="V46" s="50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56"/>
    </row>
    <row r="47" spans="1:41" ht="18" customHeight="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50"/>
      <c r="V47" s="50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56"/>
    </row>
    <row r="48" spans="1:41" ht="18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50"/>
      <c r="V48" s="50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56"/>
    </row>
    <row r="49" spans="1:41" ht="18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50"/>
      <c r="V49" s="50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56"/>
    </row>
    <row r="50" spans="1:41" ht="18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50"/>
      <c r="V50" s="50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56"/>
    </row>
    <row r="51" spans="1:41" ht="18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50"/>
      <c r="V51" s="50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56"/>
    </row>
    <row r="52" spans="1:41" ht="18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50"/>
      <c r="V52" s="50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56"/>
    </row>
    <row r="53" spans="1:41" ht="18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50"/>
      <c r="V53" s="50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56"/>
    </row>
    <row r="54" spans="1:41" ht="18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50"/>
      <c r="V54" s="50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56"/>
    </row>
    <row r="55" spans="1:41" ht="18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50"/>
      <c r="V55" s="50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56"/>
    </row>
    <row r="56" spans="1:41" ht="18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50"/>
      <c r="V56" s="50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56"/>
    </row>
    <row r="57" spans="1:41" ht="18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50"/>
      <c r="V57" s="50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56"/>
    </row>
    <row r="58" spans="1:41" ht="18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50"/>
      <c r="V58" s="50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56"/>
    </row>
    <row r="59" spans="1:41" ht="18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50"/>
      <c r="V59" s="50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56"/>
    </row>
    <row r="60" spans="1:41" ht="18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50"/>
      <c r="V60" s="50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56"/>
    </row>
    <row r="61" spans="1:41" ht="18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50"/>
      <c r="V61" s="50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56"/>
    </row>
    <row r="62" spans="1:41" ht="18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6"/>
    </row>
    <row r="63" spans="1:41" ht="18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6" t="e">
        <f>'TRANS. COV.'!AO68</f>
        <v>#REF!</v>
      </c>
    </row>
  </sheetData>
  <sheetProtection algorithmName="SHA-512" hashValue="Y2cZj4fOyZErDCtysLujTj8jymq3Ft6LWFGLWUfTXJeGjALw2hhQujMXI932tu1UqU+GeazgYLGpJkfHITR9ww==" saltValue="vKwqulKqO+zcNBmrEQAp2A==" spinCount="100000" sheet="1" objects="1" scenarios="1"/>
  <dataConsolidate/>
  <mergeCells count="112">
    <mergeCell ref="F30:I30"/>
    <mergeCell ref="V29:Y29"/>
    <mergeCell ref="U16:Y16"/>
    <mergeCell ref="AB16:AF16"/>
    <mergeCell ref="B39:E39"/>
    <mergeCell ref="B36:E36"/>
    <mergeCell ref="B37:E37"/>
    <mergeCell ref="A8:AO8"/>
    <mergeCell ref="A9:AO9"/>
    <mergeCell ref="B34:E34"/>
    <mergeCell ref="B35:E35"/>
    <mergeCell ref="N34:Q34"/>
    <mergeCell ref="B32:E32"/>
    <mergeCell ref="B38:E38"/>
    <mergeCell ref="N17:R17"/>
    <mergeCell ref="U17:Y17"/>
    <mergeCell ref="AB17:AF17"/>
    <mergeCell ref="F32:I32"/>
    <mergeCell ref="F33:I33"/>
    <mergeCell ref="F34:I34"/>
    <mergeCell ref="F28:M28"/>
    <mergeCell ref="J35:M35"/>
    <mergeCell ref="J36:M36"/>
    <mergeCell ref="B33:E33"/>
    <mergeCell ref="B31:E31"/>
    <mergeCell ref="N39:Q39"/>
    <mergeCell ref="F29:I29"/>
    <mergeCell ref="F31:I31"/>
    <mergeCell ref="AD33:AG33"/>
    <mergeCell ref="R31:U31"/>
    <mergeCell ref="N23:R23"/>
    <mergeCell ref="U23:Y23"/>
    <mergeCell ref="AB19:AF19"/>
    <mergeCell ref="J29:M29"/>
    <mergeCell ref="J30:M30"/>
    <mergeCell ref="J31:M31"/>
    <mergeCell ref="AD30:AG30"/>
    <mergeCell ref="AD31:AG31"/>
    <mergeCell ref="AB23:AF23"/>
    <mergeCell ref="N21:R21"/>
    <mergeCell ref="U21:Y21"/>
    <mergeCell ref="AB21:AF21"/>
    <mergeCell ref="N19:R19"/>
    <mergeCell ref="U19:Y19"/>
    <mergeCell ref="AD29:AK29"/>
    <mergeCell ref="V31:Y31"/>
    <mergeCell ref="Z31:AC31"/>
    <mergeCell ref="R28:Y28"/>
    <mergeCell ref="R29:U29"/>
    <mergeCell ref="AD38:AG38"/>
    <mergeCell ref="AD39:AG39"/>
    <mergeCell ref="AD32:AG32"/>
    <mergeCell ref="F35:I35"/>
    <mergeCell ref="F36:I36"/>
    <mergeCell ref="F37:I37"/>
    <mergeCell ref="F38:I38"/>
    <mergeCell ref="F39:I39"/>
    <mergeCell ref="R39:U39"/>
    <mergeCell ref="V39:Y39"/>
    <mergeCell ref="Z39:AC39"/>
    <mergeCell ref="R36:U36"/>
    <mergeCell ref="V36:Y36"/>
    <mergeCell ref="Z36:AC36"/>
    <mergeCell ref="R33:U33"/>
    <mergeCell ref="J37:M37"/>
    <mergeCell ref="J38:M38"/>
    <mergeCell ref="J39:M39"/>
    <mergeCell ref="N32:Q32"/>
    <mergeCell ref="N33:Q33"/>
    <mergeCell ref="J32:M32"/>
    <mergeCell ref="J33:M33"/>
    <mergeCell ref="J34:M34"/>
    <mergeCell ref="N38:Q38"/>
    <mergeCell ref="AH39:AK39"/>
    <mergeCell ref="R38:U38"/>
    <mergeCell ref="V38:Y38"/>
    <mergeCell ref="Z38:AC38"/>
    <mergeCell ref="R35:U35"/>
    <mergeCell ref="V35:Y35"/>
    <mergeCell ref="Z35:AC35"/>
    <mergeCell ref="R32:U32"/>
    <mergeCell ref="V32:Y32"/>
    <mergeCell ref="Z32:AC32"/>
    <mergeCell ref="R37:U37"/>
    <mergeCell ref="V37:Y37"/>
    <mergeCell ref="Z37:AC37"/>
    <mergeCell ref="AH37:AK37"/>
    <mergeCell ref="AH38:AK38"/>
    <mergeCell ref="AD37:AG37"/>
    <mergeCell ref="R34:U34"/>
    <mergeCell ref="V34:Y34"/>
    <mergeCell ref="Z34:AC34"/>
    <mergeCell ref="AH33:AK33"/>
    <mergeCell ref="AH34:AK34"/>
    <mergeCell ref="AH35:AK35"/>
    <mergeCell ref="AH36:AK36"/>
    <mergeCell ref="V33:Y33"/>
    <mergeCell ref="R30:U30"/>
    <mergeCell ref="V30:Y30"/>
    <mergeCell ref="Z30:AC30"/>
    <mergeCell ref="N35:Q35"/>
    <mergeCell ref="N36:Q36"/>
    <mergeCell ref="N37:Q37"/>
    <mergeCell ref="AH32:AK32"/>
    <mergeCell ref="AH30:AK30"/>
    <mergeCell ref="AH31:AK31"/>
    <mergeCell ref="Z33:AC33"/>
    <mergeCell ref="AD34:AG34"/>
    <mergeCell ref="AD35:AG35"/>
    <mergeCell ref="AD36:AG36"/>
    <mergeCell ref="N30:Q30"/>
    <mergeCell ref="N31:Q31"/>
  </mergeCells>
  <printOptions horizontalCentered="1"/>
  <pageMargins left="0.5" right="0.5" top="0.5" bottom="0.5" header="0.5" footer="0.5"/>
  <pageSetup scale="69" fitToWidth="0" orientation="portrait" horizontalDpi="300" verticalDpi="300" r:id="rId1"/>
  <headerFooter alignWithMargins="0"/>
  <ignoredErrors>
    <ignoredError sqref="F32:AK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060F20A121844997856E036894233" ma:contentTypeVersion="9" ma:contentTypeDescription="Create a new document." ma:contentTypeScope="" ma:versionID="25c28d4d28a27aa403f36a9e32a534a7">
  <xsd:schema xmlns:xsd="http://www.w3.org/2001/XMLSchema" xmlns:xs="http://www.w3.org/2001/XMLSchema" xmlns:p="http://schemas.microsoft.com/office/2006/metadata/properties" xmlns:ns2="cdf5cfbf-cf86-4eb7-ac31-a9fd0075546e" xmlns:ns3="aa8b5681-98c3-4a1e-8391-cfa151307841" xmlns:ns4="http://schemas.microsoft.com/sharepoint/v4" targetNamespace="http://schemas.microsoft.com/office/2006/metadata/properties" ma:root="true" ma:fieldsID="e066d4e08742c05dbf70db0b28ebc67d" ns2:_="" ns3:_="" ns4:_="">
    <xsd:import namespace="cdf5cfbf-cf86-4eb7-ac31-a9fd0075546e"/>
    <xsd:import namespace="aa8b5681-98c3-4a1e-8391-cfa15130784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Group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b5681-98c3-4a1e-8391-cfa151307841" elementFormDefault="qualified">
    <xsd:import namespace="http://schemas.microsoft.com/office/2006/documentManagement/types"/>
    <xsd:import namespace="http://schemas.microsoft.com/office/infopath/2007/PartnerControls"/>
    <xsd:element name="Group" ma:index="9" nillable="true" ma:displayName="Group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aa8b5681-98c3-4a1e-8391-cfa151307841">Micro-Surfacing</Group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1DCB347D-EAEE-4A2A-9DDB-76449F232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67E7C4-90E3-413A-BF65-25899B03C64E}"/>
</file>

<file path=customXml/itemProps3.xml><?xml version="1.0" encoding="utf-8"?>
<ds:datastoreItem xmlns:ds="http://schemas.openxmlformats.org/officeDocument/2006/customXml" ds:itemID="{C0587606-B967-470F-B0A8-F22039615C6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22</vt:i4>
      </vt:variant>
    </vt:vector>
  </HeadingPairs>
  <TitlesOfParts>
    <vt:vector size="42" baseType="lpstr">
      <vt:lpstr>GETTING STARTED</vt:lpstr>
      <vt:lpstr>TRANS. COV.</vt:lpstr>
      <vt:lpstr>JMF SHEET PG 1</vt:lpstr>
      <vt:lpstr>JMF SHEET PG 2</vt:lpstr>
      <vt:lpstr>JMF SHEET PG 3</vt:lpstr>
      <vt:lpstr>JMF SHEET PG 4</vt:lpstr>
      <vt:lpstr>JMF SHEET PG 5</vt:lpstr>
      <vt:lpstr>JMF SHEET PG 6</vt:lpstr>
      <vt:lpstr>JMF SHEET PG 7</vt:lpstr>
      <vt:lpstr>JMF SHEET PG 8</vt:lpstr>
      <vt:lpstr>GRAPH DATA</vt:lpstr>
      <vt:lpstr>421 Item Code Information</vt:lpstr>
      <vt:lpstr>01-Districts and Counties</vt:lpstr>
      <vt:lpstr>Spec year &amp; 800 dates</vt:lpstr>
      <vt:lpstr>02-Relevant Item Codes</vt:lpstr>
      <vt:lpstr>04-JMF Mix Suppliers</vt:lpstr>
      <vt:lpstr>07-Binder PS Codes</vt:lpstr>
      <vt:lpstr>10-Agg PS Codes</vt:lpstr>
      <vt:lpstr>12-Agg Mat Codes</vt:lpstr>
      <vt:lpstr>13-Portland Cement Suppliers</vt:lpstr>
      <vt:lpstr>_01</vt:lpstr>
      <vt:lpstr>_02</vt:lpstr>
      <vt:lpstr>_03</vt:lpstr>
      <vt:lpstr>_04</vt:lpstr>
      <vt:lpstr>_05</vt:lpstr>
      <vt:lpstr>_06</vt:lpstr>
      <vt:lpstr>_07</vt:lpstr>
      <vt:lpstr>_08</vt:lpstr>
      <vt:lpstr>_09</vt:lpstr>
      <vt:lpstr>_10</vt:lpstr>
      <vt:lpstr>_11</vt:lpstr>
      <vt:lpstr>_12</vt:lpstr>
      <vt:lpstr>'GRAPH DATA'!Print_Area</vt:lpstr>
      <vt:lpstr>'JMF SHEET PG 1'!Print_Area</vt:lpstr>
      <vt:lpstr>'JMF SHEET PG 2'!Print_Area</vt:lpstr>
      <vt:lpstr>'JMF SHEET PG 3'!Print_Area</vt:lpstr>
      <vt:lpstr>'JMF SHEET PG 4'!Print_Area</vt:lpstr>
      <vt:lpstr>'JMF SHEET PG 5'!Print_Area</vt:lpstr>
      <vt:lpstr>'JMF SHEET PG 6'!Print_Area</vt:lpstr>
      <vt:lpstr>'JMF SHEET PG 7'!Print_Area</vt:lpstr>
      <vt:lpstr>'JMF SHEET PG 8'!Print_Area</vt:lpstr>
      <vt:lpstr>'TRANS. COV.'!Print_Area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421 Mix Design Submittal Packet Example</dc:title>
  <dc:creator>Authorized Gateway Customer</dc:creator>
  <cp:lastModifiedBy>Eric Biehl</cp:lastModifiedBy>
  <cp:lastPrinted>2018-05-22T12:59:04Z</cp:lastPrinted>
  <dcterms:created xsi:type="dcterms:W3CDTF">1999-02-25T13:46:59Z</dcterms:created>
  <dcterms:modified xsi:type="dcterms:W3CDTF">2018-05-22T14:07:58Z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0x010100441060F20A121844997856E036894233</vt:lpwstr>
  </property>
</Properties>
</file>