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0" yWindow="60" windowWidth="15195" windowHeight="9210"/>
  </bookViews>
  <sheets>
    <sheet name="Gusset Plates Rating" sheetId="13" r:id="rId1"/>
    <sheet name="Member Loads" sheetId="18" r:id="rId2"/>
    <sheet name="Info Tables" sheetId="7" r:id="rId3"/>
  </sheets>
  <definedNames>
    <definedName name="_xlnm.Print_Area" localSheetId="0">'Gusset Plates Rating'!$A$1:$X$376</definedName>
    <definedName name="_xlnm.Print_Area" localSheetId="1">'Member Loads'!$A$6:$V$73</definedName>
  </definedNames>
  <calcPr calcId="125725"/>
</workbook>
</file>

<file path=xl/calcChain.xml><?xml version="1.0" encoding="utf-8"?>
<calcChain xmlns="http://schemas.openxmlformats.org/spreadsheetml/2006/main">
  <c r="B49" i="13"/>
  <c r="I19"/>
  <c r="C279"/>
  <c r="H119" i="7"/>
  <c r="B48" i="13"/>
  <c r="B284"/>
  <c r="B283"/>
  <c r="B285" s="1"/>
  <c r="E285" s="1"/>
  <c r="B282"/>
  <c r="C281"/>
  <c r="C278"/>
  <c r="C280" s="1"/>
  <c r="F280" s="1"/>
  <c r="B279"/>
  <c r="B281"/>
  <c r="E281" s="1"/>
  <c r="B278"/>
  <c r="C283"/>
  <c r="C284"/>
  <c r="B250" i="7"/>
  <c r="B300"/>
  <c r="B350"/>
  <c r="B400"/>
  <c r="B450"/>
  <c r="B500"/>
  <c r="B550"/>
  <c r="B600"/>
  <c r="B650"/>
  <c r="B700"/>
  <c r="B749"/>
  <c r="B799"/>
  <c r="B849"/>
  <c r="B899"/>
  <c r="H195"/>
  <c r="G195"/>
  <c r="H194"/>
  <c r="G194"/>
  <c r="H193"/>
  <c r="G193"/>
  <c r="H192"/>
  <c r="G192"/>
  <c r="H191"/>
  <c r="G191"/>
  <c r="H190"/>
  <c r="G190"/>
  <c r="H189"/>
  <c r="G189"/>
  <c r="H188"/>
  <c r="G188"/>
  <c r="H187"/>
  <c r="G187"/>
  <c r="H186"/>
  <c r="G186"/>
  <c r="H185"/>
  <c r="G185"/>
  <c r="H184"/>
  <c r="G184"/>
  <c r="H183"/>
  <c r="G183"/>
  <c r="H182"/>
  <c r="G182"/>
  <c r="H181"/>
  <c r="G181"/>
  <c r="H180"/>
  <c r="G180"/>
  <c r="H179"/>
  <c r="G179"/>
  <c r="H178"/>
  <c r="G178"/>
  <c r="H177"/>
  <c r="G177"/>
  <c r="H176"/>
  <c r="G176"/>
  <c r="H175"/>
  <c r="G175"/>
  <c r="X12" i="18"/>
  <c r="T12"/>
  <c r="P12"/>
  <c r="L12"/>
  <c r="H12"/>
  <c r="D12"/>
  <c r="B24" i="13"/>
  <c r="B23"/>
  <c r="B41"/>
  <c r="G13"/>
  <c r="G12"/>
  <c r="G11"/>
  <c r="G10"/>
  <c r="L6"/>
  <c r="H1"/>
  <c r="N6"/>
  <c r="A3"/>
  <c r="J19"/>
  <c r="A146"/>
  <c r="A147"/>
  <c r="A148"/>
  <c r="A149"/>
  <c r="A150"/>
  <c r="A155"/>
  <c r="A156"/>
  <c r="A157"/>
  <c r="A158"/>
  <c r="A159"/>
  <c r="A249"/>
  <c r="A248"/>
  <c r="A247"/>
  <c r="A246"/>
  <c r="A245"/>
  <c r="A225"/>
  <c r="A224"/>
  <c r="A223"/>
  <c r="A222"/>
  <c r="A221"/>
  <c r="AD193"/>
  <c r="A187"/>
  <c r="A186"/>
  <c r="A185"/>
  <c r="A184"/>
  <c r="A183"/>
  <c r="A129"/>
  <c r="A128"/>
  <c r="A127"/>
  <c r="A126"/>
  <c r="A125"/>
  <c r="B138"/>
  <c r="I30"/>
  <c r="AD166"/>
  <c r="B45"/>
  <c r="B42"/>
  <c r="A271"/>
  <c r="A270"/>
  <c r="A269"/>
  <c r="D358"/>
  <c r="D359"/>
  <c r="B102"/>
  <c r="B30"/>
  <c r="AD254"/>
  <c r="AD341"/>
  <c r="A351"/>
  <c r="A352"/>
  <c r="J21"/>
  <c r="I24"/>
  <c r="B106"/>
  <c r="B105"/>
  <c r="E41"/>
  <c r="B137"/>
  <c r="AD230"/>
  <c r="G6"/>
  <c r="G7"/>
  <c r="G8"/>
  <c r="G9"/>
  <c r="AD95"/>
  <c r="AD112"/>
  <c r="A116"/>
  <c r="A117"/>
  <c r="A118"/>
  <c r="A119"/>
  <c r="A120"/>
  <c r="AD135"/>
  <c r="A174"/>
  <c r="A175"/>
  <c r="A176"/>
  <c r="A177"/>
  <c r="A178"/>
  <c r="A203"/>
  <c r="A204"/>
  <c r="A205"/>
  <c r="A206"/>
  <c r="A207"/>
  <c r="A212"/>
  <c r="A213"/>
  <c r="A214"/>
  <c r="A215"/>
  <c r="A216"/>
  <c r="A235"/>
  <c r="A236"/>
  <c r="A237"/>
  <c r="A238"/>
  <c r="A239"/>
  <c r="D23"/>
  <c r="B261"/>
  <c r="B97"/>
  <c r="B101"/>
  <c r="B59"/>
  <c r="E59" s="1"/>
  <c r="B57"/>
  <c r="B58"/>
  <c r="B60"/>
  <c r="B61"/>
  <c r="F358"/>
  <c r="F359" s="1"/>
  <c r="E358"/>
  <c r="E359" s="1"/>
  <c r="C358"/>
  <c r="C359" s="1"/>
  <c r="D106"/>
  <c r="D105"/>
  <c r="AE105"/>
  <c r="AE106"/>
  <c r="B171"/>
  <c r="C31"/>
  <c r="C346"/>
  <c r="C105"/>
  <c r="G121" i="7"/>
  <c r="H121"/>
  <c r="G119"/>
  <c r="G120"/>
  <c r="H120"/>
  <c r="B43" i="13"/>
  <c r="D83"/>
  <c r="C106"/>
  <c r="G122" i="7"/>
  <c r="H122"/>
  <c r="G123"/>
  <c r="H123"/>
  <c r="B46" i="13"/>
  <c r="F187" s="1"/>
  <c r="B44"/>
  <c r="E81" s="1"/>
  <c r="B358" s="1"/>
  <c r="B47"/>
  <c r="G83"/>
  <c r="G124" i="7"/>
  <c r="H124"/>
  <c r="G125"/>
  <c r="H125"/>
  <c r="G126"/>
  <c r="H126"/>
  <c r="G127"/>
  <c r="H127"/>
  <c r="G128"/>
  <c r="H128"/>
  <c r="G129"/>
  <c r="H129"/>
  <c r="G130"/>
  <c r="H130"/>
  <c r="G131"/>
  <c r="H131"/>
  <c r="G132"/>
  <c r="H132"/>
  <c r="G133"/>
  <c r="H133"/>
  <c r="G134"/>
  <c r="H134"/>
  <c r="G135"/>
  <c r="H135"/>
  <c r="G136"/>
  <c r="H136"/>
  <c r="G137"/>
  <c r="H137"/>
  <c r="G138"/>
  <c r="H138"/>
  <c r="G139"/>
  <c r="H139"/>
  <c r="H140"/>
  <c r="G140"/>
  <c r="C373" i="13"/>
  <c r="D366"/>
  <c r="B280"/>
  <c r="D81"/>
  <c r="B98" s="1"/>
  <c r="D82"/>
  <c r="E84"/>
  <c r="K21"/>
  <c r="C3"/>
  <c r="B31"/>
  <c r="H35"/>
  <c r="B141"/>
  <c r="G35"/>
  <c r="A141"/>
  <c r="B50"/>
  <c r="E35"/>
  <c r="B170"/>
  <c r="I57"/>
  <c r="B69"/>
  <c r="F60"/>
  <c r="B81"/>
  <c r="B73"/>
  <c r="F35"/>
  <c r="B344"/>
  <c r="C35"/>
  <c r="I35"/>
  <c r="C141"/>
  <c r="C61"/>
  <c r="C85" s="1"/>
  <c r="G81"/>
  <c r="B359" s="1"/>
  <c r="F184"/>
  <c r="G84"/>
  <c r="F183"/>
  <c r="F186"/>
  <c r="F84"/>
  <c r="F82"/>
  <c r="G82"/>
  <c r="G85"/>
  <c r="F85"/>
  <c r="F185"/>
  <c r="F81"/>
  <c r="D285" s="1"/>
  <c r="F83"/>
  <c r="E82"/>
  <c r="B346"/>
  <c r="B198"/>
  <c r="B197"/>
  <c r="B260"/>
  <c r="D60"/>
  <c r="D283"/>
  <c r="D281"/>
  <c r="F281"/>
  <c r="B99"/>
  <c r="A35"/>
  <c r="B168"/>
  <c r="B35"/>
  <c r="B183"/>
  <c r="B245"/>
  <c r="L81"/>
  <c r="I81"/>
  <c r="C366"/>
  <c r="D373"/>
  <c r="E183"/>
  <c r="E186"/>
  <c r="B257"/>
  <c r="E83"/>
  <c r="E185"/>
  <c r="E187"/>
  <c r="E184"/>
  <c r="D85"/>
  <c r="D84"/>
  <c r="B72"/>
  <c r="E60"/>
  <c r="B83"/>
  <c r="B205"/>
  <c r="E283"/>
  <c r="B195"/>
  <c r="B258"/>
  <c r="B169"/>
  <c r="B196"/>
  <c r="B221"/>
  <c r="J81"/>
  <c r="K81"/>
  <c r="B212"/>
  <c r="B146"/>
  <c r="B116"/>
  <c r="B174"/>
  <c r="H81"/>
  <c r="N81"/>
  <c r="B155"/>
  <c r="D61"/>
  <c r="E61"/>
  <c r="I61"/>
  <c r="E73"/>
  <c r="F61"/>
  <c r="B85"/>
  <c r="D58"/>
  <c r="F58"/>
  <c r="C58"/>
  <c r="B82"/>
  <c r="I58"/>
  <c r="C59"/>
  <c r="K59"/>
  <c r="I59"/>
  <c r="B71"/>
  <c r="D59"/>
  <c r="G59"/>
  <c r="I60"/>
  <c r="D72"/>
  <c r="C60"/>
  <c r="B84"/>
  <c r="H60"/>
  <c r="K60"/>
  <c r="G60"/>
  <c r="K57"/>
  <c r="D57"/>
  <c r="F57"/>
  <c r="E57"/>
  <c r="C57"/>
  <c r="D73"/>
  <c r="M83"/>
  <c r="B351"/>
  <c r="B247"/>
  <c r="J83"/>
  <c r="K83"/>
  <c r="K61"/>
  <c r="E239"/>
  <c r="S81"/>
  <c r="T81"/>
  <c r="O81"/>
  <c r="P81"/>
  <c r="B235"/>
  <c r="M81"/>
  <c r="B125"/>
  <c r="B203"/>
  <c r="B70"/>
  <c r="E58"/>
  <c r="K58"/>
  <c r="F59"/>
  <c r="H59"/>
  <c r="L72"/>
  <c r="P352" s="1"/>
  <c r="J60"/>
  <c r="C84"/>
  <c r="C72"/>
  <c r="D71"/>
  <c r="E71"/>
  <c r="E237"/>
  <c r="E176"/>
  <c r="E214"/>
  <c r="E205"/>
  <c r="L59"/>
  <c r="E118"/>
  <c r="B147"/>
  <c r="B222"/>
  <c r="B175"/>
  <c r="B236"/>
  <c r="B213"/>
  <c r="H82"/>
  <c r="M82"/>
  <c r="J82"/>
  <c r="K82" s="1"/>
  <c r="I82"/>
  <c r="B246"/>
  <c r="B156"/>
  <c r="L82"/>
  <c r="T82"/>
  <c r="B204"/>
  <c r="B184"/>
  <c r="B126"/>
  <c r="B117"/>
  <c r="B271"/>
  <c r="B216"/>
  <c r="B249"/>
  <c r="M85"/>
  <c r="B129"/>
  <c r="B150"/>
  <c r="B225"/>
  <c r="I85"/>
  <c r="B159"/>
  <c r="B178"/>
  <c r="B239"/>
  <c r="H85"/>
  <c r="L85"/>
  <c r="N85"/>
  <c r="B120"/>
  <c r="B207"/>
  <c r="J85"/>
  <c r="K85"/>
  <c r="S85"/>
  <c r="B187"/>
  <c r="H73"/>
  <c r="E117"/>
  <c r="E175"/>
  <c r="L58"/>
  <c r="F175" s="1"/>
  <c r="E213"/>
  <c r="E204"/>
  <c r="E236"/>
  <c r="E70"/>
  <c r="G70"/>
  <c r="D70"/>
  <c r="J70"/>
  <c r="C81"/>
  <c r="C155"/>
  <c r="C69"/>
  <c r="L57"/>
  <c r="F203" s="1"/>
  <c r="E203"/>
  <c r="E235"/>
  <c r="E212"/>
  <c r="E116"/>
  <c r="E174"/>
  <c r="E119"/>
  <c r="E177"/>
  <c r="L60"/>
  <c r="F119"/>
  <c r="E238"/>
  <c r="E215"/>
  <c r="E206"/>
  <c r="B248"/>
  <c r="M84"/>
  <c r="J84"/>
  <c r="K84" s="1"/>
  <c r="B215"/>
  <c r="B352"/>
  <c r="L84"/>
  <c r="T84"/>
  <c r="B270"/>
  <c r="B186"/>
  <c r="I84"/>
  <c r="B158"/>
  <c r="B238"/>
  <c r="B206"/>
  <c r="H84"/>
  <c r="B128"/>
  <c r="B177"/>
  <c r="B119"/>
  <c r="B149"/>
  <c r="B224"/>
  <c r="G71"/>
  <c r="K351" s="1"/>
  <c r="F71"/>
  <c r="H351" s="1"/>
  <c r="H353" s="1"/>
  <c r="G366" s="1"/>
  <c r="C71"/>
  <c r="C83"/>
  <c r="C247"/>
  <c r="I247" s="1"/>
  <c r="C70"/>
  <c r="C82"/>
  <c r="C175"/>
  <c r="G58"/>
  <c r="L70"/>
  <c r="F73"/>
  <c r="G61"/>
  <c r="L73" s="1"/>
  <c r="H61"/>
  <c r="O73" s="1"/>
  <c r="T85"/>
  <c r="U85"/>
  <c r="V85" s="1"/>
  <c r="W85" s="1"/>
  <c r="D186"/>
  <c r="H186"/>
  <c r="D270"/>
  <c r="D215"/>
  <c r="K215" s="1"/>
  <c r="D158"/>
  <c r="D128"/>
  <c r="D352"/>
  <c r="F352"/>
  <c r="D224"/>
  <c r="D149"/>
  <c r="J149" s="1"/>
  <c r="D238"/>
  <c r="K238" s="1"/>
  <c r="D119"/>
  <c r="D206"/>
  <c r="K206" s="1"/>
  <c r="D177"/>
  <c r="D248"/>
  <c r="F177"/>
  <c r="C174"/>
  <c r="C183"/>
  <c r="K70"/>
  <c r="F204"/>
  <c r="F117"/>
  <c r="F118"/>
  <c r="F176"/>
  <c r="F214"/>
  <c r="F237"/>
  <c r="F205"/>
  <c r="C224"/>
  <c r="H224" s="1"/>
  <c r="C128"/>
  <c r="C270"/>
  <c r="C149"/>
  <c r="C119"/>
  <c r="C206"/>
  <c r="C177"/>
  <c r="C158"/>
  <c r="C248"/>
  <c r="H248"/>
  <c r="C215"/>
  <c r="C352"/>
  <c r="C238"/>
  <c r="C186"/>
  <c r="G186" s="1"/>
  <c r="O85"/>
  <c r="S82"/>
  <c r="U82"/>
  <c r="V82" s="1"/>
  <c r="W82" s="1"/>
  <c r="I70"/>
  <c r="J73"/>
  <c r="C246"/>
  <c r="I246"/>
  <c r="C237"/>
  <c r="B157"/>
  <c r="B237"/>
  <c r="F213"/>
  <c r="F236"/>
  <c r="C212"/>
  <c r="C245"/>
  <c r="I245"/>
  <c r="C221"/>
  <c r="I221"/>
  <c r="C235"/>
  <c r="F116"/>
  <c r="F235"/>
  <c r="F215"/>
  <c r="O82"/>
  <c r="N82"/>
  <c r="P82" s="1"/>
  <c r="Q82" s="1"/>
  <c r="R82" s="1"/>
  <c r="H70"/>
  <c r="B223"/>
  <c r="B148"/>
  <c r="B214"/>
  <c r="L61"/>
  <c r="F239" s="1"/>
  <c r="J351"/>
  <c r="C223"/>
  <c r="I223"/>
  <c r="C147"/>
  <c r="C236"/>
  <c r="F70"/>
  <c r="C73"/>
  <c r="Q81"/>
  <c r="R81"/>
  <c r="I224"/>
  <c r="C205"/>
  <c r="C185"/>
  <c r="C118"/>
  <c r="G118" s="1"/>
  <c r="C214"/>
  <c r="C117"/>
  <c r="G117"/>
  <c r="C156"/>
  <c r="M70"/>
  <c r="S84"/>
  <c r="O84"/>
  <c r="I206"/>
  <c r="N84"/>
  <c r="P84" s="1"/>
  <c r="Q84" s="1"/>
  <c r="R84" s="1"/>
  <c r="E216"/>
  <c r="U81"/>
  <c r="V81"/>
  <c r="W81" s="1"/>
  <c r="E319"/>
  <c r="H58"/>
  <c r="J58"/>
  <c r="K149"/>
  <c r="E149"/>
  <c r="E282"/>
  <c r="H319"/>
  <c r="E284"/>
  <c r="D294"/>
  <c r="D279"/>
  <c r="J22"/>
  <c r="D280"/>
  <c r="D278"/>
  <c r="B185"/>
  <c r="I351"/>
  <c r="E72"/>
  <c r="M72"/>
  <c r="Q352" s="1"/>
  <c r="E85"/>
  <c r="D69"/>
  <c r="H57"/>
  <c r="N69" s="1"/>
  <c r="N71"/>
  <c r="R351" s="1"/>
  <c r="R353" s="1"/>
  <c r="O71"/>
  <c r="S351" s="1"/>
  <c r="M71"/>
  <c r="Q351" s="1"/>
  <c r="Q353" s="1"/>
  <c r="L71"/>
  <c r="P351" s="1"/>
  <c r="P353" s="1"/>
  <c r="J59"/>
  <c r="D148" s="1"/>
  <c r="N73"/>
  <c r="G57"/>
  <c r="M69"/>
  <c r="K71"/>
  <c r="O351"/>
  <c r="G206"/>
  <c r="B118"/>
  <c r="H206"/>
  <c r="I215"/>
  <c r="J61"/>
  <c r="D239"/>
  <c r="K239" s="1"/>
  <c r="C351"/>
  <c r="C157"/>
  <c r="C148"/>
  <c r="C176"/>
  <c r="C127"/>
  <c r="C184"/>
  <c r="C126"/>
  <c r="C204"/>
  <c r="C222"/>
  <c r="I222"/>
  <c r="C213"/>
  <c r="E120"/>
  <c r="E178"/>
  <c r="J71"/>
  <c r="N351" s="1"/>
  <c r="N353" s="1"/>
  <c r="B127"/>
  <c r="H83"/>
  <c r="L83"/>
  <c r="N83"/>
  <c r="P83"/>
  <c r="Q83" s="1"/>
  <c r="R83" s="1"/>
  <c r="B176"/>
  <c r="I83"/>
  <c r="B269"/>
  <c r="E69"/>
  <c r="I69"/>
  <c r="D236"/>
  <c r="K236" s="1"/>
  <c r="H320"/>
  <c r="F207"/>
  <c r="F178"/>
  <c r="F120"/>
  <c r="D127"/>
  <c r="F279"/>
  <c r="E279"/>
  <c r="E317"/>
  <c r="D293"/>
  <c r="E278"/>
  <c r="H317" s="1"/>
  <c r="I317" s="1"/>
  <c r="F278"/>
  <c r="D317" s="1"/>
  <c r="F317" s="1"/>
  <c r="E280"/>
  <c r="H318" s="1"/>
  <c r="I318" s="1"/>
  <c r="G72"/>
  <c r="K352" s="1"/>
  <c r="K72"/>
  <c r="O352" s="1"/>
  <c r="O353" s="1"/>
  <c r="O72"/>
  <c r="S352" s="1"/>
  <c r="I72"/>
  <c r="M352" s="1"/>
  <c r="F69"/>
  <c r="H69"/>
  <c r="J69"/>
  <c r="G69"/>
  <c r="S83"/>
  <c r="U83" s="1"/>
  <c r="V83" s="1"/>
  <c r="W83" s="1"/>
  <c r="T83"/>
  <c r="O83"/>
  <c r="L69"/>
  <c r="D235"/>
  <c r="K235" s="1"/>
  <c r="G235"/>
  <c r="G215"/>
  <c r="D187"/>
  <c r="H187" s="1"/>
  <c r="D207"/>
  <c r="K207" s="1"/>
  <c r="D120"/>
  <c r="H236"/>
  <c r="M236"/>
  <c r="H291"/>
  <c r="D292"/>
  <c r="D291"/>
  <c r="G317"/>
  <c r="E291"/>
  <c r="I207"/>
  <c r="B335"/>
  <c r="B309"/>
  <c r="C293"/>
  <c r="C319"/>
  <c r="C335"/>
  <c r="C309"/>
  <c r="M239"/>
  <c r="C285"/>
  <c r="F283"/>
  <c r="F284"/>
  <c r="D320" s="1"/>
  <c r="C282"/>
  <c r="F282" s="1"/>
  <c r="D237"/>
  <c r="K237" s="1"/>
  <c r="J270"/>
  <c r="F291"/>
  <c r="G318"/>
  <c r="E292"/>
  <c r="F292"/>
  <c r="F285"/>
  <c r="J237"/>
  <c r="H270"/>
  <c r="D223"/>
  <c r="C116"/>
  <c r="G116"/>
  <c r="F174"/>
  <c r="M237"/>
  <c r="O207"/>
  <c r="AE207"/>
  <c r="H237"/>
  <c r="F270"/>
  <c r="D157"/>
  <c r="D185"/>
  <c r="H185"/>
  <c r="O237"/>
  <c r="AD237"/>
  <c r="P237"/>
  <c r="AE237" s="1"/>
  <c r="J207"/>
  <c r="N237"/>
  <c r="H207"/>
  <c r="I116"/>
  <c r="I237"/>
  <c r="I352"/>
  <c r="J236"/>
  <c r="D249"/>
  <c r="D150"/>
  <c r="D129"/>
  <c r="G185"/>
  <c r="D118"/>
  <c r="D269"/>
  <c r="B333" s="1"/>
  <c r="D205"/>
  <c r="K205" s="1"/>
  <c r="D214"/>
  <c r="K214" s="1"/>
  <c r="H214"/>
  <c r="F223" s="1"/>
  <c r="D225"/>
  <c r="D176"/>
  <c r="G176"/>
  <c r="K176" s="1"/>
  <c r="D351"/>
  <c r="D247"/>
  <c r="F247"/>
  <c r="L214"/>
  <c r="L207"/>
  <c r="N207"/>
  <c r="AD207"/>
  <c r="AC207" s="1"/>
  <c r="M207"/>
  <c r="B300"/>
  <c r="C307"/>
  <c r="B308"/>
  <c r="C299"/>
  <c r="C325"/>
  <c r="B307"/>
  <c r="C326"/>
  <c r="H116"/>
  <c r="I235"/>
  <c r="J57"/>
  <c r="F216"/>
  <c r="C203"/>
  <c r="C146"/>
  <c r="C125"/>
  <c r="F212"/>
  <c r="F206"/>
  <c r="J116"/>
  <c r="L116"/>
  <c r="M235"/>
  <c r="N235"/>
  <c r="G351"/>
  <c r="G236"/>
  <c r="P236"/>
  <c r="AE236" s="1"/>
  <c r="O69"/>
  <c r="G149"/>
  <c r="F149"/>
  <c r="F238"/>
  <c r="G238"/>
  <c r="K69"/>
  <c r="D271"/>
  <c r="H215"/>
  <c r="H149"/>
  <c r="F158"/>
  <c r="M319"/>
  <c r="AG319" s="1"/>
  <c r="D335"/>
  <c r="E335" s="1"/>
  <c r="AB335" s="1"/>
  <c r="K319"/>
  <c r="AE319"/>
  <c r="F105"/>
  <c r="AD105" s="1"/>
  <c r="AC105" s="1"/>
  <c r="AC95" s="1"/>
  <c r="F106"/>
  <c r="AD106"/>
  <c r="AC106" s="1"/>
  <c r="E105"/>
  <c r="E106"/>
  <c r="B343"/>
  <c r="B259"/>
  <c r="O235"/>
  <c r="AD235" s="1"/>
  <c r="P235"/>
  <c r="AE235" s="1"/>
  <c r="H235"/>
  <c r="J235"/>
  <c r="I149"/>
  <c r="N236"/>
  <c r="O236"/>
  <c r="AD236" s="1"/>
  <c r="AC236" s="1"/>
  <c r="I236"/>
  <c r="D178"/>
  <c r="G178" s="1"/>
  <c r="D159"/>
  <c r="N70"/>
  <c r="H72"/>
  <c r="L352" s="1"/>
  <c r="J72"/>
  <c r="F72"/>
  <c r="N72"/>
  <c r="P85"/>
  <c r="Q85" s="1"/>
  <c r="R85" s="1"/>
  <c r="I117"/>
  <c r="H117"/>
  <c r="J117"/>
  <c r="P117"/>
  <c r="AF117" s="1"/>
  <c r="K117"/>
  <c r="Q117" s="1"/>
  <c r="AG117" s="1"/>
  <c r="N117"/>
  <c r="AD117"/>
  <c r="M117"/>
  <c r="L117"/>
  <c r="O117"/>
  <c r="AE117" s="1"/>
  <c r="AC117" s="1"/>
  <c r="J215"/>
  <c r="M215"/>
  <c r="L149"/>
  <c r="M149"/>
  <c r="N149"/>
  <c r="D117"/>
  <c r="D175"/>
  <c r="G175" s="1"/>
  <c r="D246"/>
  <c r="D184"/>
  <c r="D126"/>
  <c r="E126" s="1"/>
  <c r="D147"/>
  <c r="D204"/>
  <c r="K204" s="1"/>
  <c r="D213"/>
  <c r="K213" s="1"/>
  <c r="D156"/>
  <c r="D222"/>
  <c r="I176"/>
  <c r="M176"/>
  <c r="D216"/>
  <c r="K216" s="1"/>
  <c r="O70"/>
  <c r="G177"/>
  <c r="G352"/>
  <c r="I248"/>
  <c r="C269"/>
  <c r="O149"/>
  <c r="E158"/>
  <c r="I158"/>
  <c r="G119"/>
  <c r="U84"/>
  <c r="V84" s="1"/>
  <c r="W84" s="1"/>
  <c r="W149"/>
  <c r="AK149" s="1"/>
  <c r="S149"/>
  <c r="AG149" s="1"/>
  <c r="G73"/>
  <c r="K73"/>
  <c r="I73"/>
  <c r="M73"/>
  <c r="G239"/>
  <c r="E249"/>
  <c r="P239"/>
  <c r="AE239"/>
  <c r="H239"/>
  <c r="F249"/>
  <c r="G249" s="1"/>
  <c r="J249" s="1"/>
  <c r="AB249" s="1"/>
  <c r="N239"/>
  <c r="I239"/>
  <c r="O239"/>
  <c r="AD239" s="1"/>
  <c r="AC239" s="1"/>
  <c r="J239"/>
  <c r="L215"/>
  <c r="H158"/>
  <c r="H119"/>
  <c r="L119"/>
  <c r="M119"/>
  <c r="I119"/>
  <c r="J119"/>
  <c r="N119" s="1"/>
  <c r="AD119" s="1"/>
  <c r="E128"/>
  <c r="K119"/>
  <c r="Q119"/>
  <c r="AG119" s="1"/>
  <c r="E294"/>
  <c r="F294" s="1"/>
  <c r="G320"/>
  <c r="I320" s="1"/>
  <c r="E352"/>
  <c r="E207"/>
  <c r="H294"/>
  <c r="E293"/>
  <c r="F293"/>
  <c r="G319"/>
  <c r="I319"/>
  <c r="G158"/>
  <c r="C292"/>
  <c r="I214"/>
  <c r="M116"/>
  <c r="K116"/>
  <c r="J158"/>
  <c r="F157"/>
  <c r="E157"/>
  <c r="G247"/>
  <c r="J247" s="1"/>
  <c r="AB247" s="1"/>
  <c r="H247"/>
  <c r="H176"/>
  <c r="L176" s="1"/>
  <c r="N176"/>
  <c r="P176"/>
  <c r="AE176" s="1"/>
  <c r="J176"/>
  <c r="O176"/>
  <c r="AD176" s="1"/>
  <c r="AC176" s="1"/>
  <c r="J214"/>
  <c r="M214"/>
  <c r="C300"/>
  <c r="B299"/>
  <c r="C308"/>
  <c r="B292"/>
  <c r="C333"/>
  <c r="C334"/>
  <c r="B325"/>
  <c r="B326"/>
  <c r="C291"/>
  <c r="B334"/>
  <c r="B291"/>
  <c r="J185"/>
  <c r="M185"/>
  <c r="K185"/>
  <c r="N185"/>
  <c r="I185"/>
  <c r="L185"/>
  <c r="O185" s="1"/>
  <c r="AB185" s="1"/>
  <c r="K150"/>
  <c r="I150"/>
  <c r="J150"/>
  <c r="F150"/>
  <c r="H150"/>
  <c r="E150"/>
  <c r="D299"/>
  <c r="E299" s="1"/>
  <c r="E351"/>
  <c r="F351"/>
  <c r="G205"/>
  <c r="H205"/>
  <c r="M205"/>
  <c r="J205"/>
  <c r="I205"/>
  <c r="L205"/>
  <c r="D326"/>
  <c r="E326"/>
  <c r="D325"/>
  <c r="E325" s="1"/>
  <c r="D300"/>
  <c r="E300" s="1"/>
  <c r="G214"/>
  <c r="D333"/>
  <c r="E333"/>
  <c r="AB333" s="1"/>
  <c r="D307"/>
  <c r="E307" s="1"/>
  <c r="AB307" s="1"/>
  <c r="AA254" s="1"/>
  <c r="N12" s="1"/>
  <c r="M12" s="1"/>
  <c r="K292"/>
  <c r="AE292"/>
  <c r="C318"/>
  <c r="M292"/>
  <c r="AG292" s="1"/>
  <c r="D155"/>
  <c r="D125"/>
  <c r="E125"/>
  <c r="D203"/>
  <c r="K203" s="1"/>
  <c r="D174"/>
  <c r="G174" s="1"/>
  <c r="D116"/>
  <c r="D221"/>
  <c r="D183"/>
  <c r="D212"/>
  <c r="K212" s="1"/>
  <c r="D146"/>
  <c r="D245"/>
  <c r="E245"/>
  <c r="D334"/>
  <c r="E334"/>
  <c r="AB334" s="1"/>
  <c r="D308"/>
  <c r="E308" s="1"/>
  <c r="AB308" s="1"/>
  <c r="N116"/>
  <c r="AD116"/>
  <c r="P116"/>
  <c r="AF116"/>
  <c r="H238"/>
  <c r="K158"/>
  <c r="AB158" s="1"/>
  <c r="B310"/>
  <c r="C310"/>
  <c r="B336"/>
  <c r="C294"/>
  <c r="C320"/>
  <c r="C336"/>
  <c r="G293"/>
  <c r="G291"/>
  <c r="I291" s="1"/>
  <c r="L206"/>
  <c r="J206"/>
  <c r="M206"/>
  <c r="F224"/>
  <c r="F159"/>
  <c r="E159"/>
  <c r="H159"/>
  <c r="J352"/>
  <c r="H352"/>
  <c r="E270"/>
  <c r="I270"/>
  <c r="R352"/>
  <c r="G270"/>
  <c r="N352"/>
  <c r="O119"/>
  <c r="AE119" s="1"/>
  <c r="E269"/>
  <c r="H269"/>
  <c r="I269"/>
  <c r="J269"/>
  <c r="F269"/>
  <c r="G269"/>
  <c r="H204"/>
  <c r="I204"/>
  <c r="J204"/>
  <c r="N204"/>
  <c r="AD204"/>
  <c r="O204"/>
  <c r="AE204" s="1"/>
  <c r="G204"/>
  <c r="M204"/>
  <c r="L204"/>
  <c r="E246"/>
  <c r="F246"/>
  <c r="U149"/>
  <c r="AI149"/>
  <c r="Q149"/>
  <c r="AE149"/>
  <c r="H177"/>
  <c r="K177"/>
  <c r="I177"/>
  <c r="J177"/>
  <c r="G216"/>
  <c r="E225"/>
  <c r="O216"/>
  <c r="AE216" s="1"/>
  <c r="M216"/>
  <c r="L216"/>
  <c r="I216"/>
  <c r="N216"/>
  <c r="AD216" s="1"/>
  <c r="AC216" s="1"/>
  <c r="H216"/>
  <c r="F225"/>
  <c r="G225" s="1"/>
  <c r="J225" s="1"/>
  <c r="AB225" s="1"/>
  <c r="J216"/>
  <c r="H213"/>
  <c r="F222"/>
  <c r="M213"/>
  <c r="G213"/>
  <c r="E222" s="1"/>
  <c r="O213"/>
  <c r="AE213" s="1"/>
  <c r="N213"/>
  <c r="AD213" s="1"/>
  <c r="I213"/>
  <c r="J213"/>
  <c r="L213"/>
  <c r="E147"/>
  <c r="E156" s="1"/>
  <c r="H147"/>
  <c r="G147"/>
  <c r="L147"/>
  <c r="J147"/>
  <c r="K147"/>
  <c r="I147"/>
  <c r="F147"/>
  <c r="H184"/>
  <c r="G184"/>
  <c r="V149"/>
  <c r="AJ149" s="1"/>
  <c r="R149"/>
  <c r="AF149" s="1"/>
  <c r="P149"/>
  <c r="AD149" s="1"/>
  <c r="T149"/>
  <c r="AH149" s="1"/>
  <c r="P119"/>
  <c r="AF119" s="1"/>
  <c r="E224"/>
  <c r="O215"/>
  <c r="AE215"/>
  <c r="N215"/>
  <c r="AD215"/>
  <c r="AC215" s="1"/>
  <c r="J353"/>
  <c r="D336"/>
  <c r="E336" s="1"/>
  <c r="AB336" s="1"/>
  <c r="M320"/>
  <c r="AG320"/>
  <c r="K320"/>
  <c r="AE320"/>
  <c r="F128"/>
  <c r="G128"/>
  <c r="H128"/>
  <c r="AB128"/>
  <c r="G224"/>
  <c r="J224"/>
  <c r="AB224" s="1"/>
  <c r="O116"/>
  <c r="AE116" s="1"/>
  <c r="Q116"/>
  <c r="AG116" s="1"/>
  <c r="J157"/>
  <c r="G157"/>
  <c r="I157"/>
  <c r="H157"/>
  <c r="K157"/>
  <c r="AB157" s="1"/>
  <c r="E223"/>
  <c r="O214"/>
  <c r="AE214"/>
  <c r="N214"/>
  <c r="AD214"/>
  <c r="N205"/>
  <c r="AD205"/>
  <c r="AC205" s="1"/>
  <c r="O205"/>
  <c r="AE205" s="1"/>
  <c r="B317"/>
  <c r="J291"/>
  <c r="AD291"/>
  <c r="L291"/>
  <c r="AF291"/>
  <c r="K291"/>
  <c r="AE291"/>
  <c r="C317"/>
  <c r="M291"/>
  <c r="AG291" s="1"/>
  <c r="I353"/>
  <c r="J292"/>
  <c r="AD292" s="1"/>
  <c r="L292"/>
  <c r="AF292" s="1"/>
  <c r="B318"/>
  <c r="I146"/>
  <c r="K146"/>
  <c r="J146"/>
  <c r="E146"/>
  <c r="E155" s="1"/>
  <c r="F146"/>
  <c r="H146"/>
  <c r="G183"/>
  <c r="H183"/>
  <c r="N203"/>
  <c r="AD203" s="1"/>
  <c r="G203"/>
  <c r="L203"/>
  <c r="M203"/>
  <c r="I203"/>
  <c r="J203"/>
  <c r="O203"/>
  <c r="AE203"/>
  <c r="AB193"/>
  <c r="L10" s="1"/>
  <c r="H203"/>
  <c r="G146"/>
  <c r="L146" s="1"/>
  <c r="M212"/>
  <c r="H212"/>
  <c r="F221"/>
  <c r="L212"/>
  <c r="O212"/>
  <c r="AE212" s="1"/>
  <c r="I212"/>
  <c r="J212"/>
  <c r="G212"/>
  <c r="E221" s="1"/>
  <c r="N212"/>
  <c r="AD212" s="1"/>
  <c r="F125"/>
  <c r="H125"/>
  <c r="AB125"/>
  <c r="G125"/>
  <c r="K318"/>
  <c r="AE318" s="1"/>
  <c r="M318"/>
  <c r="AG318" s="1"/>
  <c r="F245"/>
  <c r="I238"/>
  <c r="M238"/>
  <c r="E248"/>
  <c r="J238"/>
  <c r="M294"/>
  <c r="AG294"/>
  <c r="D310"/>
  <c r="E310"/>
  <c r="AB310" s="1"/>
  <c r="K294"/>
  <c r="AE294" s="1"/>
  <c r="K293"/>
  <c r="AE293" s="1"/>
  <c r="AE295" s="1"/>
  <c r="D309"/>
  <c r="E309"/>
  <c r="AB309" s="1"/>
  <c r="M293"/>
  <c r="AG293" s="1"/>
  <c r="N206"/>
  <c r="AD206" s="1"/>
  <c r="AC206" s="1"/>
  <c r="O206"/>
  <c r="AE206"/>
  <c r="M177"/>
  <c r="J159"/>
  <c r="G159"/>
  <c r="I159"/>
  <c r="K159"/>
  <c r="AB159"/>
  <c r="C302"/>
  <c r="C301"/>
  <c r="C327"/>
  <c r="C328"/>
  <c r="B294"/>
  <c r="B293"/>
  <c r="B327"/>
  <c r="D327" s="1"/>
  <c r="E327" s="1"/>
  <c r="B302"/>
  <c r="B301"/>
  <c r="D301" s="1"/>
  <c r="E301" s="1"/>
  <c r="B328"/>
  <c r="D328"/>
  <c r="E328" s="1"/>
  <c r="J184"/>
  <c r="M184"/>
  <c r="L184"/>
  <c r="O184"/>
  <c r="AB184" s="1"/>
  <c r="N184"/>
  <c r="I184"/>
  <c r="K184"/>
  <c r="U147"/>
  <c r="AI147"/>
  <c r="T147"/>
  <c r="AH147" s="1"/>
  <c r="P147"/>
  <c r="AD147" s="1"/>
  <c r="W147"/>
  <c r="AK147" s="1"/>
  <c r="R147"/>
  <c r="AF147" s="1"/>
  <c r="S147"/>
  <c r="AG147" s="1"/>
  <c r="M147"/>
  <c r="O147"/>
  <c r="N147"/>
  <c r="Q147"/>
  <c r="AE147"/>
  <c r="V147"/>
  <c r="AJ147"/>
  <c r="G222"/>
  <c r="J222" s="1"/>
  <c r="AB222" s="1"/>
  <c r="H222"/>
  <c r="G246"/>
  <c r="J246" s="1"/>
  <c r="AB246" s="1"/>
  <c r="H246"/>
  <c r="L177"/>
  <c r="N177"/>
  <c r="AB112"/>
  <c r="L7"/>
  <c r="AB291"/>
  <c r="J318"/>
  <c r="AD318"/>
  <c r="L318"/>
  <c r="AF318"/>
  <c r="M317"/>
  <c r="AG317"/>
  <c r="AG321" s="1"/>
  <c r="K317"/>
  <c r="AE317" s="1"/>
  <c r="AE321" s="1"/>
  <c r="J317"/>
  <c r="AD317"/>
  <c r="L317"/>
  <c r="AF317"/>
  <c r="H245"/>
  <c r="G245"/>
  <c r="J245" s="1"/>
  <c r="AB245" s="1"/>
  <c r="AA230" s="1"/>
  <c r="N11" s="1"/>
  <c r="M11" s="1"/>
  <c r="H221"/>
  <c r="G221"/>
  <c r="J221"/>
  <c r="AB221" s="1"/>
  <c r="AA193" s="1"/>
  <c r="N10" s="1"/>
  <c r="M10" s="1"/>
  <c r="L183"/>
  <c r="O183"/>
  <c r="AB183" s="1"/>
  <c r="AA166" s="1"/>
  <c r="N9" s="1"/>
  <c r="M9" s="1"/>
  <c r="J183"/>
  <c r="I183"/>
  <c r="M183"/>
  <c r="K183"/>
  <c r="N183"/>
  <c r="AC318"/>
  <c r="AB318"/>
  <c r="T146"/>
  <c r="AH146" s="1"/>
  <c r="AB135" s="1"/>
  <c r="L8" s="1"/>
  <c r="R146"/>
  <c r="AF146" s="1"/>
  <c r="N146"/>
  <c r="U146"/>
  <c r="AI146"/>
  <c r="P146"/>
  <c r="AD146"/>
  <c r="M146"/>
  <c r="W146"/>
  <c r="AK146" s="1"/>
  <c r="S146"/>
  <c r="AG146" s="1"/>
  <c r="O146"/>
  <c r="V146"/>
  <c r="AJ146"/>
  <c r="Q146"/>
  <c r="AE146"/>
  <c r="D302"/>
  <c r="E302" s="1"/>
  <c r="N238"/>
  <c r="AA112"/>
  <c r="N7"/>
  <c r="M7" s="1"/>
  <c r="B320"/>
  <c r="J320" s="1"/>
  <c r="AD320" s="1"/>
  <c r="L294"/>
  <c r="AF294"/>
  <c r="J294"/>
  <c r="AD294"/>
  <c r="AC294" s="1"/>
  <c r="J293"/>
  <c r="AD293"/>
  <c r="AB293" s="1"/>
  <c r="L293"/>
  <c r="AF293"/>
  <c r="B319"/>
  <c r="O177"/>
  <c r="AD177" s="1"/>
  <c r="AC177" s="1"/>
  <c r="P177"/>
  <c r="AE177" s="1"/>
  <c r="AC147"/>
  <c r="AB147"/>
  <c r="N14"/>
  <c r="AB317"/>
  <c r="AC317"/>
  <c r="F248"/>
  <c r="G248"/>
  <c r="J248" s="1"/>
  <c r="AB248" s="1"/>
  <c r="P238"/>
  <c r="AE238"/>
  <c r="AB230"/>
  <c r="L11"/>
  <c r="O238"/>
  <c r="AD238"/>
  <c r="AF295"/>
  <c r="AB294"/>
  <c r="L319"/>
  <c r="AF319" s="1"/>
  <c r="J319"/>
  <c r="AD319"/>
  <c r="AC319" s="1"/>
  <c r="AC293"/>
  <c r="AB319"/>
  <c r="AC254"/>
  <c r="K12"/>
  <c r="AB254"/>
  <c r="L12"/>
  <c r="AC212"/>
  <c r="AC214"/>
  <c r="AC203"/>
  <c r="AC193"/>
  <c r="K10" s="1"/>
  <c r="AC238"/>
  <c r="AC235"/>
  <c r="AC230"/>
  <c r="K11" s="1"/>
  <c r="AC237"/>
  <c r="AB320" l="1"/>
  <c r="AC146"/>
  <c r="AC135" s="1"/>
  <c r="K8" s="1"/>
  <c r="AB146"/>
  <c r="AC149"/>
  <c r="AB149"/>
  <c r="H156"/>
  <c r="K156" s="1"/>
  <c r="AB156" s="1"/>
  <c r="I156"/>
  <c r="J156"/>
  <c r="G156"/>
  <c r="F156"/>
  <c r="I174"/>
  <c r="M174" s="1"/>
  <c r="K174"/>
  <c r="O174"/>
  <c r="AD174" s="1"/>
  <c r="AC174" s="1"/>
  <c r="AC166" s="1"/>
  <c r="K9" s="1"/>
  <c r="P174"/>
  <c r="AE174" s="1"/>
  <c r="AB166" s="1"/>
  <c r="L9" s="1"/>
  <c r="N174"/>
  <c r="J174"/>
  <c r="H174"/>
  <c r="L174" s="1"/>
  <c r="K175"/>
  <c r="P175"/>
  <c r="AE175" s="1"/>
  <c r="J175"/>
  <c r="I175"/>
  <c r="M175" s="1"/>
  <c r="N175"/>
  <c r="H175"/>
  <c r="L175" s="1"/>
  <c r="O175"/>
  <c r="AD175" s="1"/>
  <c r="P178"/>
  <c r="AE178" s="1"/>
  <c r="O178"/>
  <c r="AD178" s="1"/>
  <c r="I178"/>
  <c r="M178" s="1"/>
  <c r="J178"/>
  <c r="N178"/>
  <c r="H178"/>
  <c r="L178" s="1"/>
  <c r="K178"/>
  <c r="H223"/>
  <c r="G223"/>
  <c r="J223" s="1"/>
  <c r="AB223" s="1"/>
  <c r="D319"/>
  <c r="F319" s="1"/>
  <c r="H293"/>
  <c r="I293" s="1"/>
  <c r="G359"/>
  <c r="G358"/>
  <c r="J118"/>
  <c r="Q118"/>
  <c r="AG118" s="1"/>
  <c r="E127"/>
  <c r="H118"/>
  <c r="N118"/>
  <c r="AD118" s="1"/>
  <c r="P118"/>
  <c r="AF118" s="1"/>
  <c r="I118"/>
  <c r="O118"/>
  <c r="AE118" s="1"/>
  <c r="K118"/>
  <c r="M118"/>
  <c r="L118"/>
  <c r="B366"/>
  <c r="B373"/>
  <c r="E320"/>
  <c r="G294"/>
  <c r="I294" s="1"/>
  <c r="AC116"/>
  <c r="AC112" s="1"/>
  <c r="K7" s="1"/>
  <c r="AC213"/>
  <c r="AC204"/>
  <c r="AC119"/>
  <c r="S353"/>
  <c r="H358" s="1"/>
  <c r="G155"/>
  <c r="I155"/>
  <c r="J155"/>
  <c r="F155"/>
  <c r="H155"/>
  <c r="K155" s="1"/>
  <c r="AB155" s="1"/>
  <c r="AA135" s="1"/>
  <c r="N8" s="1"/>
  <c r="M8" s="1"/>
  <c r="AC292"/>
  <c r="AB292"/>
  <c r="AC291"/>
  <c r="AG295"/>
  <c r="F126"/>
  <c r="G126"/>
  <c r="H126"/>
  <c r="AB126" s="1"/>
  <c r="M6"/>
  <c r="K6"/>
  <c r="I148"/>
  <c r="K148"/>
  <c r="E148"/>
  <c r="H148"/>
  <c r="G148"/>
  <c r="L148" s="1"/>
  <c r="F148"/>
  <c r="J148"/>
  <c r="H359"/>
  <c r="J186"/>
  <c r="N186"/>
  <c r="L186"/>
  <c r="O186" s="1"/>
  <c r="AB186" s="1"/>
  <c r="M186"/>
  <c r="I186"/>
  <c r="K186"/>
  <c r="G373"/>
  <c r="K353"/>
  <c r="C178"/>
  <c r="C225"/>
  <c r="C249"/>
  <c r="C120"/>
  <c r="G120" s="1"/>
  <c r="C271"/>
  <c r="C216"/>
  <c r="C129"/>
  <c r="C239"/>
  <c r="C207"/>
  <c r="C187"/>
  <c r="G187" s="1"/>
  <c r="C150"/>
  <c r="C159"/>
  <c r="I71"/>
  <c r="M351" s="1"/>
  <c r="H71"/>
  <c r="L351" s="1"/>
  <c r="L353" s="1"/>
  <c r="H366" s="1"/>
  <c r="I366" s="1"/>
  <c r="AB366" s="1"/>
  <c r="AA341" s="1"/>
  <c r="N13" s="1"/>
  <c r="M13" s="1"/>
  <c r="E318"/>
  <c r="G292"/>
  <c r="D318"/>
  <c r="F318" s="1"/>
  <c r="H292"/>
  <c r="AD321"/>
  <c r="AD295"/>
  <c r="AC295" s="1"/>
  <c r="L320"/>
  <c r="AF320" s="1"/>
  <c r="AC320" s="1"/>
  <c r="F320"/>
  <c r="G207"/>
  <c r="L235"/>
  <c r="L236"/>
  <c r="L237"/>
  <c r="L238"/>
  <c r="L239"/>
  <c r="G237"/>
  <c r="E247" s="1"/>
  <c r="D282"/>
  <c r="D284"/>
  <c r="L358" l="1"/>
  <c r="P358"/>
  <c r="L359"/>
  <c r="R358"/>
  <c r="H373"/>
  <c r="I373" s="1"/>
  <c r="AB373" s="1"/>
  <c r="M353"/>
  <c r="G150"/>
  <c r="N150"/>
  <c r="O150"/>
  <c r="R150"/>
  <c r="AF150" s="1"/>
  <c r="T150"/>
  <c r="AH150" s="1"/>
  <c r="P150"/>
  <c r="AD150" s="1"/>
  <c r="L150"/>
  <c r="V150"/>
  <c r="AJ150" s="1"/>
  <c r="W150"/>
  <c r="AK150" s="1"/>
  <c r="M150"/>
  <c r="S150"/>
  <c r="AG150" s="1"/>
  <c r="U150"/>
  <c r="AI150" s="1"/>
  <c r="Q150"/>
  <c r="AE150" s="1"/>
  <c r="E271"/>
  <c r="J271"/>
  <c r="F271"/>
  <c r="I271"/>
  <c r="G271"/>
  <c r="H271"/>
  <c r="I249"/>
  <c r="H249"/>
  <c r="P359"/>
  <c r="R359"/>
  <c r="V148"/>
  <c r="AJ148" s="1"/>
  <c r="P148"/>
  <c r="AD148" s="1"/>
  <c r="O148"/>
  <c r="T148"/>
  <c r="AH148" s="1"/>
  <c r="M148"/>
  <c r="Q148"/>
  <c r="AE148" s="1"/>
  <c r="U148"/>
  <c r="AI148" s="1"/>
  <c r="W148"/>
  <c r="AK148" s="1"/>
  <c r="S148"/>
  <c r="AG148" s="1"/>
  <c r="N148"/>
  <c r="R148"/>
  <c r="AF148" s="1"/>
  <c r="F366"/>
  <c r="E366"/>
  <c r="I358"/>
  <c r="Q358"/>
  <c r="AD358" s="1"/>
  <c r="O358"/>
  <c r="S358" s="1"/>
  <c r="AE358" s="1"/>
  <c r="AB341" s="1"/>
  <c r="L13" s="1"/>
  <c r="M187"/>
  <c r="L187"/>
  <c r="O187" s="1"/>
  <c r="AB187" s="1"/>
  <c r="K187"/>
  <c r="N187"/>
  <c r="I187"/>
  <c r="J187"/>
  <c r="I120"/>
  <c r="L120"/>
  <c r="K120"/>
  <c r="O120"/>
  <c r="AE120" s="1"/>
  <c r="E129"/>
  <c r="H120"/>
  <c r="M120"/>
  <c r="J120"/>
  <c r="N120" s="1"/>
  <c r="AD120" s="1"/>
  <c r="AC120" s="1"/>
  <c r="Q120"/>
  <c r="AG120" s="1"/>
  <c r="P120"/>
  <c r="AF120" s="1"/>
  <c r="I225"/>
  <c r="H225"/>
  <c r="E373"/>
  <c r="F373"/>
  <c r="H127"/>
  <c r="AB127" s="1"/>
  <c r="G127"/>
  <c r="F127"/>
  <c r="I359"/>
  <c r="O359"/>
  <c r="S359" s="1"/>
  <c r="AE359" s="1"/>
  <c r="Q359"/>
  <c r="AC321"/>
  <c r="I292"/>
  <c r="AC118"/>
  <c r="AC178"/>
  <c r="AC175"/>
  <c r="AF321"/>
  <c r="G129" l="1"/>
  <c r="F129"/>
  <c r="H129"/>
  <c r="AB129" s="1"/>
  <c r="J358"/>
  <c r="K358"/>
  <c r="AB148"/>
  <c r="AC148"/>
  <c r="M359"/>
  <c r="N359"/>
  <c r="N358"/>
  <c r="M358"/>
  <c r="K359"/>
  <c r="J359"/>
  <c r="AC358"/>
  <c r="AC341" s="1"/>
  <c r="K13" s="1"/>
  <c r="AB358"/>
  <c r="AC150"/>
  <c r="AB150"/>
  <c r="AD359"/>
  <c r="AB359" l="1"/>
  <c r="AC359"/>
</calcChain>
</file>

<file path=xl/comments1.xml><?xml version="1.0" encoding="utf-8"?>
<comments xmlns="http://schemas.openxmlformats.org/spreadsheetml/2006/main">
  <authors>
    <author>oabuhaja</author>
  </authors>
  <commentList>
    <comment ref="B5" authorId="0">
      <text>
        <r>
          <rPr>
            <b/>
            <sz val="8"/>
            <color indexed="81"/>
            <rFont val="Tahoma"/>
            <family val="2"/>
          </rPr>
          <t>oabuhaja:</t>
        </r>
        <r>
          <rPr>
            <sz val="8"/>
            <color indexed="81"/>
            <rFont val="Tahoma"/>
            <family val="2"/>
          </rPr>
          <t xml:space="preserve">
Project Information will not be used in the calculations</t>
        </r>
      </text>
    </comment>
    <comment ref="B6" authorId="0">
      <text>
        <r>
          <rPr>
            <b/>
            <sz val="8"/>
            <color indexed="81"/>
            <rFont val="Tahoma"/>
            <family val="2"/>
          </rPr>
          <t>oabuhaja:</t>
        </r>
        <r>
          <rPr>
            <sz val="8"/>
            <color indexed="81"/>
            <rFont val="Tahoma"/>
            <family val="2"/>
          </rPr>
          <t xml:space="preserve">
Project Information will not be used in the calculations</t>
        </r>
      </text>
    </comment>
    <comment ref="B7" authorId="0">
      <text>
        <r>
          <rPr>
            <b/>
            <sz val="8"/>
            <color indexed="81"/>
            <rFont val="Tahoma"/>
            <family val="2"/>
          </rPr>
          <t>oabuhaja:</t>
        </r>
        <r>
          <rPr>
            <sz val="8"/>
            <color indexed="81"/>
            <rFont val="Tahoma"/>
            <family val="2"/>
          </rPr>
          <t xml:space="preserve">
Project Information will not be used in the calculations</t>
        </r>
      </text>
    </comment>
    <comment ref="B8" authorId="0">
      <text>
        <r>
          <rPr>
            <b/>
            <sz val="8"/>
            <color indexed="81"/>
            <rFont val="Tahoma"/>
            <family val="2"/>
          </rPr>
          <t>oabuhaja:</t>
        </r>
        <r>
          <rPr>
            <sz val="8"/>
            <color indexed="81"/>
            <rFont val="Tahoma"/>
            <family val="2"/>
          </rPr>
          <t xml:space="preserve">
Project Information will not be used in the calculations</t>
        </r>
      </text>
    </comment>
    <comment ref="B9" authorId="0">
      <text>
        <r>
          <rPr>
            <b/>
            <sz val="8"/>
            <color indexed="81"/>
            <rFont val="Tahoma"/>
            <family val="2"/>
          </rPr>
          <t>oabuhaja:</t>
        </r>
        <r>
          <rPr>
            <sz val="8"/>
            <color indexed="81"/>
            <rFont val="Tahoma"/>
            <family val="2"/>
          </rPr>
          <t xml:space="preserve">
Project Information will not be used in the calculations</t>
        </r>
      </text>
    </comment>
    <comment ref="B10" authorId="0">
      <text>
        <r>
          <rPr>
            <b/>
            <sz val="8"/>
            <color indexed="81"/>
            <rFont val="Tahoma"/>
            <family val="2"/>
          </rPr>
          <t>oabuhaja:</t>
        </r>
        <r>
          <rPr>
            <sz val="8"/>
            <color indexed="81"/>
            <rFont val="Tahoma"/>
            <family val="2"/>
          </rPr>
          <t xml:space="preserve">
Project Information will not be used in the calculations</t>
        </r>
      </text>
    </comment>
    <comment ref="B11" authorId="0">
      <text>
        <r>
          <rPr>
            <b/>
            <sz val="8"/>
            <color indexed="81"/>
            <rFont val="Tahoma"/>
            <family val="2"/>
          </rPr>
          <t>oabuhaja:</t>
        </r>
        <r>
          <rPr>
            <sz val="8"/>
            <color indexed="81"/>
            <rFont val="Tahoma"/>
            <family val="2"/>
          </rPr>
          <t xml:space="preserve">
Project Information will not be used in the calculations</t>
        </r>
      </text>
    </comment>
    <comment ref="B12" authorId="0">
      <text>
        <r>
          <rPr>
            <b/>
            <sz val="8"/>
            <color indexed="81"/>
            <rFont val="Tahoma"/>
            <family val="2"/>
          </rPr>
          <t>oabuhaja:</t>
        </r>
        <r>
          <rPr>
            <sz val="8"/>
            <color indexed="81"/>
            <rFont val="Tahoma"/>
            <family val="2"/>
          </rPr>
          <t xml:space="preserve">
Project Information will not be used in the calculations</t>
        </r>
      </text>
    </comment>
    <comment ref="B17" authorId="0">
      <text>
        <r>
          <rPr>
            <b/>
            <sz val="8"/>
            <color indexed="81"/>
            <rFont val="Tahoma"/>
            <family val="2"/>
          </rPr>
          <t>oabuhaja:</t>
        </r>
        <r>
          <rPr>
            <sz val="8"/>
            <color indexed="81"/>
            <rFont val="Tahoma"/>
            <family val="2"/>
          </rPr>
          <t xml:space="preserve">
Project Information will not be used in the calculations</t>
        </r>
      </text>
    </comment>
    <comment ref="B18" authorId="0">
      <text>
        <r>
          <rPr>
            <b/>
            <sz val="8"/>
            <color indexed="81"/>
            <rFont val="Tahoma"/>
            <family val="2"/>
          </rPr>
          <t>oabuhaja:</t>
        </r>
        <r>
          <rPr>
            <sz val="8"/>
            <color indexed="81"/>
            <rFont val="Tahoma"/>
            <family val="2"/>
          </rPr>
          <t xml:space="preserve">
Project Information will not be used in the calculations</t>
        </r>
      </text>
    </comment>
    <comment ref="B19" authorId="0">
      <text>
        <r>
          <rPr>
            <b/>
            <sz val="8"/>
            <color indexed="81"/>
            <rFont val="Tahoma"/>
            <family val="2"/>
          </rPr>
          <t>oabuhaja:</t>
        </r>
        <r>
          <rPr>
            <sz val="8"/>
            <color indexed="81"/>
            <rFont val="Tahoma"/>
            <family val="2"/>
          </rPr>
          <t xml:space="preserve">
Project Information will not be used in the calculations</t>
        </r>
      </text>
    </comment>
    <comment ref="B20" authorId="0">
      <text>
        <r>
          <rPr>
            <b/>
            <sz val="8"/>
            <color indexed="81"/>
            <rFont val="Tahoma"/>
            <family val="2"/>
          </rPr>
          <t>oabuhaja:</t>
        </r>
        <r>
          <rPr>
            <sz val="8"/>
            <color indexed="81"/>
            <rFont val="Tahoma"/>
            <family val="2"/>
          </rPr>
          <t xml:space="preserve">
The default value is 36000 psi, revise according to specific project.</t>
        </r>
      </text>
    </comment>
    <comment ref="B21" authorId="0">
      <text>
        <r>
          <rPr>
            <b/>
            <sz val="8"/>
            <color indexed="81"/>
            <rFont val="Tahoma"/>
            <family val="2"/>
          </rPr>
          <t>oabuhaja:</t>
        </r>
        <r>
          <rPr>
            <sz val="8"/>
            <color indexed="81"/>
            <rFont val="Tahoma"/>
            <family val="2"/>
          </rPr>
          <t xml:space="preserve">
The default value is 60000 psi, revise according to specific project.</t>
        </r>
      </text>
    </comment>
    <comment ref="B22" authorId="0">
      <text>
        <r>
          <rPr>
            <b/>
            <sz val="8"/>
            <color indexed="81"/>
            <rFont val="Tahoma"/>
            <family val="2"/>
          </rPr>
          <t>oabuhaja:</t>
        </r>
        <r>
          <rPr>
            <sz val="8"/>
            <color indexed="81"/>
            <rFont val="Tahoma"/>
            <family val="2"/>
          </rPr>
          <t xml:space="preserve">
The default value is 29000000 psi, revise according to specific project.</t>
        </r>
      </text>
    </comment>
    <comment ref="B23" authorId="0">
      <text>
        <r>
          <rPr>
            <b/>
            <sz val="8"/>
            <color indexed="81"/>
            <rFont val="Tahoma"/>
            <family val="2"/>
          </rPr>
          <t xml:space="preserve">oabuhaja:
</t>
        </r>
        <r>
          <rPr>
            <sz val="8"/>
            <color indexed="81"/>
            <rFont val="Tahoma"/>
            <family val="2"/>
          </rPr>
          <t>Rivet/bolt diameter, add 1/8" for hole size. The default value is 0.875 inch, revise according to specific project.</t>
        </r>
      </text>
    </comment>
    <comment ref="B24" authorId="0">
      <text>
        <r>
          <rPr>
            <b/>
            <sz val="8"/>
            <color indexed="81"/>
            <rFont val="Tahoma"/>
            <family val="2"/>
          </rPr>
          <t xml:space="preserve">oabuhaja:
</t>
        </r>
        <r>
          <rPr>
            <sz val="8"/>
            <color indexed="81"/>
            <rFont val="Tahoma"/>
            <family val="2"/>
          </rPr>
          <t>Enter Fy if connector type is unknown, but yield strength of the connectors is known.  Otherwise, enter 0 here.</t>
        </r>
      </text>
    </comment>
    <comment ref="B26" authorId="0">
      <text>
        <r>
          <rPr>
            <b/>
            <sz val="8"/>
            <color indexed="81"/>
            <rFont val="Tahoma"/>
            <family val="2"/>
          </rPr>
          <t>oabuhaja:</t>
        </r>
        <r>
          <rPr>
            <sz val="8"/>
            <color indexed="81"/>
            <rFont val="Tahoma"/>
            <family val="2"/>
          </rPr>
          <t xml:space="preserve">
1.0 is the default value to multiply by the total length of a column having riveted end connection.  Use 0.75 if the gusset plate is stiff and braced by secondary members is available.</t>
        </r>
      </text>
    </comment>
    <comment ref="B27" authorId="0">
      <text>
        <r>
          <rPr>
            <b/>
            <sz val="8"/>
            <color indexed="81"/>
            <rFont val="Tahoma"/>
            <family val="2"/>
          </rPr>
          <t>oabuhaja:</t>
        </r>
        <r>
          <rPr>
            <sz val="8"/>
            <color indexed="81"/>
            <rFont val="Tahoma"/>
            <family val="2"/>
          </rPr>
          <t xml:space="preserve">
74%  is the default value for a reduction factor in allowable shear stress of gusset plates.</t>
        </r>
      </text>
    </comment>
    <comment ref="B28" authorId="0">
      <text>
        <r>
          <rPr>
            <b/>
            <sz val="8"/>
            <color indexed="81"/>
            <rFont val="Tahoma"/>
            <family val="2"/>
          </rPr>
          <t>oabuhaja:</t>
        </r>
        <r>
          <rPr>
            <sz val="8"/>
            <color indexed="81"/>
            <rFont val="Tahoma"/>
            <family val="2"/>
          </rPr>
          <t xml:space="preserve">
 Block Shear 
85% is the default value for a reduction factor in steel resistance capacity  to block shear. (0.8/0.95 = .85)
</t>
        </r>
      </text>
    </comment>
    <comment ref="B30" authorId="0">
      <text>
        <r>
          <rPr>
            <b/>
            <sz val="8"/>
            <color indexed="81"/>
            <rFont val="Tahoma"/>
            <family val="2"/>
          </rPr>
          <t>oabuhaja:</t>
        </r>
        <r>
          <rPr>
            <sz val="8"/>
            <color indexed="81"/>
            <rFont val="Tahoma"/>
            <family val="2"/>
          </rPr>
          <t xml:space="preserve">
Calculated using Gusset Plate Steel Fy</t>
        </r>
      </text>
    </comment>
    <comment ref="B31" authorId="0">
      <text>
        <r>
          <rPr>
            <b/>
            <sz val="8"/>
            <color indexed="81"/>
            <rFont val="Tahoma"/>
            <family val="2"/>
          </rPr>
          <t>oabuhaja:</t>
        </r>
        <r>
          <rPr>
            <sz val="8"/>
            <color indexed="81"/>
            <rFont val="Tahoma"/>
            <family val="2"/>
          </rPr>
          <t xml:space="preserve">
AASHTO 6.6.2.1-1</t>
        </r>
      </text>
    </comment>
    <comment ref="B42" authorId="0">
      <text>
        <r>
          <rPr>
            <sz val="8"/>
            <color indexed="81"/>
            <rFont val="Tahoma"/>
            <family val="2"/>
          </rPr>
          <t xml:space="preserve">The Sum of all Plate Thicknesses on One Side Only.
</t>
        </r>
      </text>
    </comment>
    <comment ref="B43" authorId="0">
      <text>
        <r>
          <rPr>
            <sz val="8"/>
            <color indexed="81"/>
            <rFont val="Tahoma"/>
            <family val="2"/>
          </rPr>
          <t>Assumed or measured percent reduction in plate thickness taking the worst side. 0% is the original thickness</t>
        </r>
      </text>
    </comment>
    <comment ref="B45" authorId="0">
      <text>
        <r>
          <rPr>
            <sz val="8"/>
            <color indexed="81"/>
            <rFont val="Tahoma"/>
            <family val="2"/>
          </rPr>
          <t xml:space="preserve">The Sum of all Plate Thicknesses on One Side Only.
</t>
        </r>
      </text>
    </comment>
    <comment ref="B46" authorId="0">
      <text>
        <r>
          <rPr>
            <sz val="8"/>
            <color indexed="81"/>
            <rFont val="Tahoma"/>
            <family val="2"/>
          </rPr>
          <t>Assumed or measured percent reduction in plate thickness taking the worst side. 0% is the original thickness</t>
        </r>
      </text>
    </comment>
    <comment ref="E49" authorId="0">
      <text>
        <r>
          <rPr>
            <sz val="8"/>
            <color indexed="81"/>
            <rFont val="Tahoma"/>
            <family val="2"/>
          </rPr>
          <t>Assumed or measured percent reduction in plate thickness taking the worst side. 0% is the original thickness</t>
        </r>
      </text>
    </comment>
  </commentList>
</comments>
</file>

<file path=xl/sharedStrings.xml><?xml version="1.0" encoding="utf-8"?>
<sst xmlns="http://schemas.openxmlformats.org/spreadsheetml/2006/main" count="850" uniqueCount="469">
  <si>
    <t>SFN:</t>
  </si>
  <si>
    <t>Loading Truck :</t>
  </si>
  <si>
    <t>Year Built:</t>
  </si>
  <si>
    <t>Plans Year:</t>
  </si>
  <si>
    <t>Member</t>
  </si>
  <si>
    <t xml:space="preserve">ADT: </t>
  </si>
  <si>
    <t>Functional Class:</t>
  </si>
  <si>
    <t>GPS:</t>
  </si>
  <si>
    <t>Lanes:</t>
  </si>
  <si>
    <t>Lower Chord Members</t>
  </si>
  <si>
    <t>N/A</t>
  </si>
  <si>
    <t>Gusset Plates Analysis &amp; Rating</t>
  </si>
  <si>
    <t>OAH</t>
  </si>
  <si>
    <t>psi</t>
  </si>
  <si>
    <t>Based on Gross Area (psi)</t>
  </si>
  <si>
    <t>Based on Net Area (psi)</t>
  </si>
  <si>
    <r>
      <t>C</t>
    </r>
    <r>
      <rPr>
        <b/>
        <sz val="8"/>
        <rFont val="Arial"/>
        <family val="2"/>
      </rPr>
      <t>c</t>
    </r>
    <r>
      <rPr>
        <b/>
        <sz val="10"/>
        <rFont val="Arial"/>
        <family val="2"/>
      </rPr>
      <t>:</t>
    </r>
  </si>
  <si>
    <t>Based on Column Action</t>
  </si>
  <si>
    <t>FS =</t>
  </si>
  <si>
    <t>Check Joint No:</t>
  </si>
  <si>
    <t>Diagonal (LT)</t>
  </si>
  <si>
    <t>Diagonal (RT)</t>
  </si>
  <si>
    <t>Vertical</t>
  </si>
  <si>
    <t>Location</t>
  </si>
  <si>
    <t>Live Load Type:</t>
  </si>
  <si>
    <t>ID</t>
  </si>
  <si>
    <t>Inventory</t>
  </si>
  <si>
    <t>2F1</t>
  </si>
  <si>
    <t>3F1</t>
  </si>
  <si>
    <t>4F1</t>
  </si>
  <si>
    <t>5C1</t>
  </si>
  <si>
    <t>Member Incidences</t>
  </si>
  <si>
    <t>Operating Load Rating</t>
  </si>
  <si>
    <t>Inventory Load Rating</t>
  </si>
  <si>
    <t>U/L Chord  (LT)</t>
  </si>
  <si>
    <t>U/L Chord  (RT)</t>
  </si>
  <si>
    <t>COS (Angle)</t>
  </si>
  <si>
    <t>SIN (Angle)</t>
  </si>
  <si>
    <t>Note: Enter angles closest to plate axis (x or y direction)</t>
  </si>
  <si>
    <t xml:space="preserve">No. of Member End Gusset Plates </t>
  </si>
  <si>
    <t>No. of Sides</t>
  </si>
  <si>
    <t>see below for kl/r</t>
  </si>
  <si>
    <t>Fracture Based on Net Area (psi)</t>
  </si>
  <si>
    <t>Yield Based on Gross Area (psi)</t>
  </si>
  <si>
    <t>inch</t>
  </si>
  <si>
    <t>Inner Gusset Plates Actual Thickness (in)</t>
  </si>
  <si>
    <t>Outer Gusset Plates Actual Thickness (in)</t>
  </si>
  <si>
    <t>Joints</t>
  </si>
  <si>
    <t>Total Gusset Plate Thickness at Joint Both Sides (in)</t>
  </si>
  <si>
    <t>Outer Gusset Plate Fa Allowable Axial Stress (psi)</t>
  </si>
  <si>
    <t>Outer Gusset Plate  kl/r</t>
  </si>
  <si>
    <t>Inner Gusset Plate kl/r</t>
  </si>
  <si>
    <t>Check Stresses:</t>
  </si>
  <si>
    <t>Bridge:</t>
  </si>
  <si>
    <t>Allowable Plate Tension</t>
  </si>
  <si>
    <t>Allowable Plate Compression</t>
  </si>
  <si>
    <t>Allowable Plate Shear</t>
  </si>
  <si>
    <t>Fy =</t>
  </si>
  <si>
    <t>Inner Plate Thick. =</t>
  </si>
  <si>
    <t>Outer Plate Thick. =</t>
  </si>
  <si>
    <t>Meets Requirement</t>
  </si>
  <si>
    <t>Chord  (LT)</t>
  </si>
  <si>
    <t>Chord  (RT)</t>
  </si>
  <si>
    <t>Inner Gusset Plate Fa Allowable Axial Stress (psi)</t>
  </si>
  <si>
    <t>Member Type</t>
  </si>
  <si>
    <t>Inner Gusset Plates Area (sq in)</t>
  </si>
  <si>
    <t>Outer Gusset Plates Stress (ksi)</t>
  </si>
  <si>
    <t>Inner Gusset Plate Fa Allowable Axial Stress (ksi)</t>
  </si>
  <si>
    <t>Outer Gusset Plate Fa Allowable Axial Stress (ksi)</t>
  </si>
  <si>
    <t>Inner Gusset Plate Meets Requirement</t>
  </si>
  <si>
    <t>Allowable Plate Bearing (psi)</t>
  </si>
  <si>
    <t>sq inch</t>
  </si>
  <si>
    <t>Rivet Area =</t>
  </si>
  <si>
    <t>Rivet Diameter =</t>
  </si>
  <si>
    <t>Allowable Plate Bearing (ksi)</t>
  </si>
  <si>
    <t>Allowable Rivet Shear (ksi)</t>
  </si>
  <si>
    <t>Allowable Rivet Bearing (ksi)</t>
  </si>
  <si>
    <t>ksi</t>
  </si>
  <si>
    <t>Inner Gusset Plate Gross Area (g)</t>
  </si>
  <si>
    <t>For Tensile Members Only</t>
  </si>
  <si>
    <t>Inner Plate</t>
  </si>
  <si>
    <t>Shear Stress</t>
  </si>
  <si>
    <t>Tensile Stress</t>
  </si>
  <si>
    <t>Total No. of Rivets At Member End (Needed for Bearing on Gussets)</t>
  </si>
  <si>
    <t>Total No. of Rivets At Member End (Needed for Bearing on Base Metal)</t>
  </si>
  <si>
    <t>Total No. of Rivets At Member End (Needed for Shear in Rivets)</t>
  </si>
  <si>
    <t>Total No. of Rivets At Member End (Needed for Bearing on Rivets)</t>
  </si>
  <si>
    <t>Bearing on Rivets Meets Requirement</t>
  </si>
  <si>
    <t>Bearing on Gusset Plates Meets Requirement</t>
  </si>
  <si>
    <t>Bearing on Base Metal Meets Requirement</t>
  </si>
  <si>
    <t>Shear in Rivets Meets Requirement</t>
  </si>
  <si>
    <t>Outer Plate</t>
  </si>
  <si>
    <t>Note:  Base metal thicknesses are conservative, and the corner angels may add more the capacity.</t>
  </si>
  <si>
    <t>Allowable Tensile (g) =</t>
  </si>
  <si>
    <t>Allowable Tensile (n) =</t>
  </si>
  <si>
    <t>Allowable Shear (g) =</t>
  </si>
  <si>
    <t>Allowable Shear (n) =</t>
  </si>
  <si>
    <t>Base Metal Tear out</t>
  </si>
  <si>
    <t>Combined Members</t>
  </si>
  <si>
    <t>Gusset Plate Gross Vertical Depth/Height (in)</t>
  </si>
  <si>
    <t>Gusset Plate Net Vertical Depth/Height (in)</t>
  </si>
  <si>
    <t>Check Type</t>
  </si>
  <si>
    <t>Message</t>
  </si>
  <si>
    <t>Scroll Trucks</t>
  </si>
  <si>
    <t>Scroll Joints</t>
  </si>
  <si>
    <t>Actual Outer Gusset Plates Area (sq in)</t>
  </si>
  <si>
    <t>Actual Inner Gusset Plates Stress (ksi)</t>
  </si>
  <si>
    <t>Meets  Tension Stresses Yield &amp; Fracture Requirement</t>
  </si>
  <si>
    <t>Max D/C Ratio</t>
  </si>
  <si>
    <t>Live Load % Reduction:</t>
  </si>
  <si>
    <t>%</t>
  </si>
  <si>
    <t>Inner Gusset Plate C/D Ratio</t>
  </si>
  <si>
    <t>Bearing on Base Metal C/D Ratio</t>
  </si>
  <si>
    <t>Allowable Tensile Stress(g) =</t>
  </si>
  <si>
    <t>Allowable Tensile Stress (n) =</t>
  </si>
  <si>
    <t>Allowable Shear Stress (g) =</t>
  </si>
  <si>
    <t>C/D= Capacity/Demand</t>
  </si>
  <si>
    <t>Working Stress Method</t>
  </si>
  <si>
    <t>Max. Joint Axial Load (kips)</t>
  </si>
  <si>
    <t>Inner Gusset Total Original Thickness:</t>
  </si>
  <si>
    <t>Outer Gusset Total Original Thickness:</t>
  </si>
  <si>
    <t>Dimensions from Project Plans</t>
  </si>
  <si>
    <t>Gusset Plate Gross Horizontal Width (in)</t>
  </si>
  <si>
    <t>Gusset Plate Net Horizontal Width (in)</t>
  </si>
  <si>
    <t>Plate Thickness Loss (Inner)</t>
  </si>
  <si>
    <t>Remaining Plate Thickness (Inner)</t>
  </si>
  <si>
    <t>Remaining Plate Thickness (Outer)</t>
  </si>
  <si>
    <t>Dimensions from Field Measurements</t>
  </si>
  <si>
    <t>Compression Load (kips)</t>
  </si>
  <si>
    <t>Tension Load (kips)</t>
  </si>
  <si>
    <t>Dead Load</t>
  </si>
  <si>
    <t>Compression/Tension Load (kips)</t>
  </si>
  <si>
    <t>Gusset Plate Type:</t>
  </si>
  <si>
    <t>Plate Thickness Loss (Outer)</t>
  </si>
  <si>
    <t>Member Ends</t>
  </si>
  <si>
    <t>Field Inspection Member Thickness (in)</t>
  </si>
  <si>
    <t>Field Inspection Member Section Loss %</t>
  </si>
  <si>
    <t>Joint ID =</t>
  </si>
  <si>
    <t>Member ID</t>
  </si>
  <si>
    <t>Angle with Plate Axis (degrees)</t>
  </si>
  <si>
    <t>Connectors Diameter:</t>
  </si>
  <si>
    <t>Gusset Plate Thickness on Each Side (1-PLT Only) (in)</t>
  </si>
  <si>
    <t>Joint ID</t>
  </si>
  <si>
    <t>Outer Gusset Plate</t>
  </si>
  <si>
    <t>Inner Gusset Plate</t>
  </si>
  <si>
    <t>Gusset Plate Actual Thickness (in)</t>
  </si>
  <si>
    <t>Shear in Rivets C/D Ratio</t>
  </si>
  <si>
    <t>Bearing on Rivets C/D Ratio</t>
  </si>
  <si>
    <t>Bearing on Gusset Plates C/D Ratio</t>
  </si>
  <si>
    <t>Horizontal Component Total Max. Compressive Load DL+LL+I (kips)</t>
  </si>
  <si>
    <t>Horizontal Component Total Max. Tensile Load DL+LL+I (kips)</t>
  </si>
  <si>
    <t>Vertical Component Total Max. Compressive Load DL+LL+I (kips)</t>
  </si>
  <si>
    <t>Vertical Component Total Max. Tensile Load DL+LL+I (kips)</t>
  </si>
  <si>
    <t>Combined Horizontal Component Total Max. Tensile Load DL+LL+I (kips)</t>
  </si>
  <si>
    <t>Combined Vertical Component Total Max. Tensile Load DL+LL+I (kips)</t>
  </si>
  <si>
    <t>Gusset Plate Thickness (inch)</t>
  </si>
  <si>
    <t>Inner Plate Shear Stress (ksi)</t>
  </si>
  <si>
    <t>Outer Plate Shear Stress (ksi)</t>
  </si>
  <si>
    <t>Gusset Plate</t>
  </si>
  <si>
    <t>Gusset Plate Gross Shear Width (inch)</t>
  </si>
  <si>
    <t>Gusset Plate Net Shear Width (inch)</t>
  </si>
  <si>
    <t>Gusset Plate Gross Shear Height (inch)</t>
  </si>
  <si>
    <t>Gusset Plate Net Shear Height (inch)</t>
  </si>
  <si>
    <t>Horizontal Shear Stress (Gross) ksi</t>
  </si>
  <si>
    <t>Horizontal Shear Stress (Net) ksi</t>
  </si>
  <si>
    <t>Vertical Shear Stress (Gross) ksi</t>
  </si>
  <si>
    <t>Vertical Shear Stress (Net) ksi</t>
  </si>
  <si>
    <t>Meets Requirement For Global Horizontal Shear</t>
  </si>
  <si>
    <t>Meets Requirement For Global Vertical Shear</t>
  </si>
  <si>
    <t>Gusset Plate Global Vertical Shear C/D Ratio</t>
  </si>
  <si>
    <t>Max Average Horizontal Shear - 1.5 * Average Shear (kips)</t>
  </si>
  <si>
    <t>Max Average Vertical Shear- 1.5 * Average Shear (kips)</t>
  </si>
  <si>
    <t>Gusset Plate Global Shear Minimum C/D Ratio</t>
  </si>
  <si>
    <t xml:space="preserve"> Tension Stresses Yield &amp; Fracture C/D Ratio</t>
  </si>
  <si>
    <t>Total Thick. =</t>
  </si>
  <si>
    <t>Table</t>
  </si>
  <si>
    <t>Milled Butt Ends at Splice?</t>
  </si>
  <si>
    <t>Member Ends Spliced  at Joint Centers</t>
  </si>
  <si>
    <t>Member Ends Spliced at Joint Center ?</t>
  </si>
  <si>
    <t>Was Member Spliced at Joint Center?</t>
  </si>
  <si>
    <t>Was Member Butt End Milled?</t>
  </si>
  <si>
    <t>Actual Base Metal Thickness At Member End Total for Both Sides (in)</t>
  </si>
  <si>
    <t>Actual Base Metal Thickness Total at Member End (in)</t>
  </si>
  <si>
    <t>Gusset Plate Global Horizontal Shear C/D Ratio</t>
  </si>
  <si>
    <t>Max. Unstiffened Edge (L/t) Ratio = (11,000/(Fy)½) =</t>
  </si>
  <si>
    <t>Sum of all Horizontal Shear for each Plate (kips)</t>
  </si>
  <si>
    <t>Sum of all Vertical Shear for each Plate (kips)</t>
  </si>
  <si>
    <t>Base Metal Plate Thickness Per Side (in)</t>
  </si>
  <si>
    <t>Total Base Metal Plate Thickness At Member End (in)</t>
  </si>
  <si>
    <t>Member Angle Perpendicular to The Gusset Plate Horizontal Shear Axis</t>
  </si>
  <si>
    <t>Unbraced Column Length Below Member (in)</t>
  </si>
  <si>
    <t>Beta =</t>
  </si>
  <si>
    <t>Inner Gusset Plate Effective Area (e)</t>
  </si>
  <si>
    <t>Outer Gusset Plate Effective Area (e)</t>
  </si>
  <si>
    <t>ksi (Fracture)</t>
  </si>
  <si>
    <t>ksi (Yield)</t>
  </si>
  <si>
    <t>ksi  --- Reduced based on factor shown below</t>
  </si>
  <si>
    <t>For effective Gross Area  in Tension</t>
  </si>
  <si>
    <t>Truss analysis member loads output are to be entered in this worksheet.  Compression member loads shall be negative and tension loads shall be positive.</t>
  </si>
  <si>
    <t>2F1, 3f1, 4F1, &amp; 5C1 are Ohio's legal loads for operating rating.  Inventory is the typical current design truck such as HS20-44.</t>
  </si>
  <si>
    <t>psi (bolts/rivets)</t>
  </si>
  <si>
    <t>k for columns=</t>
  </si>
  <si>
    <t>= Beta</t>
  </si>
  <si>
    <t>Note:  The above buttons maybe used to scroll values; scrolling will not change the input.</t>
  </si>
  <si>
    <t>Note1:  When loads are exactly equal to zero "0' when shown as "0"; i.e. a number that equals to 0.05 shall be manually entered as "0".</t>
  </si>
  <si>
    <t>Note:  To add more joints or members, just insert lines as needed.  Excel will automatically include the new lines.</t>
  </si>
  <si>
    <t>Connectors Steel Fy:</t>
  </si>
  <si>
    <t xml:space="preserve">inch (bolts/rivets)      -----------&gt;        </t>
  </si>
  <si>
    <t>Gusset Plate Steel Fy</t>
  </si>
  <si>
    <t>Gusset Plate Steel Fu</t>
  </si>
  <si>
    <t>Gusset Plate Steel E:</t>
  </si>
  <si>
    <t>Suggested Defaults Values</t>
  </si>
  <si>
    <t>Allowable Bolts/Rivet Shear (psi)</t>
  </si>
  <si>
    <t>Allowable Bolts/Rivet Bearing (psi)</t>
  </si>
  <si>
    <t>From the Original Thickness of Gusset After Reduction …. For Whitmore Area</t>
  </si>
  <si>
    <t>Inner Gusset %  Remaining 1:</t>
  </si>
  <si>
    <t>Inner Gusset %  Remaining 2:</t>
  </si>
  <si>
    <t>Outer Gusset % Remaining 1:</t>
  </si>
  <si>
    <t>Outer Gusset % Remaining 2:</t>
  </si>
  <si>
    <t>From the Original Thickness of Gusset After Reduction….. For Shear Area</t>
  </si>
  <si>
    <t>1: Gusset Plate Minimum Edge Stiffness</t>
  </si>
  <si>
    <t>* t (inch)  -- AASHTO 10.16.11</t>
  </si>
  <si>
    <t>Minimum Plate Thickness</t>
  </si>
  <si>
    <t>inch  --  AASHTO 10.8.3</t>
  </si>
  <si>
    <t>2: Gusset Plate Local Compression Buckling Under Whitmore Effective Width</t>
  </si>
  <si>
    <t>6a</t>
  </si>
  <si>
    <t>* 0.8 if Connection Length &gt; 50"</t>
  </si>
  <si>
    <t>Inner Gusset Plates Actual Thickness For Whitmore (in)</t>
  </si>
  <si>
    <t>Outer Gusset Plates Actual Thickness For Whitmore (in)</t>
  </si>
  <si>
    <t>Inner Gusset Plates Actual Thickness For Plate Shear (in)</t>
  </si>
  <si>
    <t>Outer Gusset Plates Actual Thickness For Plate Shear (in)</t>
  </si>
  <si>
    <t>Inner &amp; Outer Total Actual Thickness  For Whitmore Width (inch)</t>
  </si>
  <si>
    <t>% Remaining Plate Thickness  For Whitmore Area (Inner Plate)</t>
  </si>
  <si>
    <t>% Remaining Plate Thickness For Whitmore Area (Outer Plate)</t>
  </si>
  <si>
    <t>% Remaining Plate Thickness For Shear Area (Inner Plate)</t>
  </si>
  <si>
    <t>% Remaining Plate Thickness For Shear Area (Outer Plate)</t>
  </si>
  <si>
    <t>Total Number of Connectors for Both Plates at Member Ends (Each)</t>
  </si>
  <si>
    <t xml:space="preserve"> Effective Gross Whitmore Width for One Gusset Plate (in)</t>
  </si>
  <si>
    <t>Effective Net Whitmore Width for One Gusset Plate (inch)</t>
  </si>
  <si>
    <t>Total Gross Length Resisting Shear Stress Per One Gusset Plate (inch)</t>
  </si>
  <si>
    <t>Total Net Length Resisting Shear Stress Per One Gusset Plate (inch)</t>
  </si>
  <si>
    <t>Compression Chord Member Milled Ends</t>
  </si>
  <si>
    <t>Note2:  To add more members, insert lines as needed.  Excel will automatically included the new lines.</t>
  </si>
  <si>
    <t>* Shear Resistance Reduction Factor</t>
  </si>
  <si>
    <t xml:space="preserve">Connectors Type:  </t>
  </si>
  <si>
    <t>Effective Net Tensile Width for One Gusset Plate - Net Distance Between the Exterior Connectors on Bottom  (inch)</t>
  </si>
  <si>
    <t>Effective Gross Tensile Width for One Gusset Plate - Gross Distance Between the Exterior Connectors on Bottom  (inch)</t>
  </si>
  <si>
    <t>Gusset Plate Quadrant</t>
  </si>
  <si>
    <t>Diagonal (LT) Horizontal Direction</t>
  </si>
  <si>
    <t>Diagonal (LT) Vertical Direction</t>
  </si>
  <si>
    <t>Diagonal (RT) Horizontal Direction</t>
  </si>
  <si>
    <t>Diagonal (RT) Vertical Direction</t>
  </si>
  <si>
    <t>Assuming diagonals act alone or are combined with vertical members causing shear and tensile stresses. The loads act upon one quadrant of the gusset.</t>
  </si>
  <si>
    <t>Allowable Horizontal Load Based on Shear Yield (kips)</t>
  </si>
  <si>
    <t>Allowable Horizontal Load Based on Tension Fracture (kips)</t>
  </si>
  <si>
    <t>Total Allowable Horizontal Load (kips)</t>
  </si>
  <si>
    <t>Allowable Vertical Load Based on Shear Yield (kips)</t>
  </si>
  <si>
    <t>Allowable Vertical Load Based on Tension Fracture (kips)</t>
  </si>
  <si>
    <t>Total Allowable Vertical Load (kips)</t>
  </si>
  <si>
    <t>Meets Horizontal Load Component Requirement</t>
  </si>
  <si>
    <t>Meets Vertical Load Component Requirement</t>
  </si>
  <si>
    <t>Gusset Plate Combined Planes Horizontal Shear Yield &amp;Tension Fracture C/D Ratio</t>
  </si>
  <si>
    <t>Gusset Plate Combined Planes Vertical Shear Yield &amp;Tension Fracture C/D Ratio</t>
  </si>
  <si>
    <t>Diagonal &amp; Vertical (LT)</t>
  </si>
  <si>
    <t>Diagonal &amp; Vertical (RT)</t>
  </si>
  <si>
    <t>Allowable Horizontal Load Based on Shear Fracture (kips)</t>
  </si>
  <si>
    <t>Allowable Horizontal Load Based on Tension Yield (kips)</t>
  </si>
  <si>
    <t>Allowable Vertical Load Based on Shear Fracture (kips)</t>
  </si>
  <si>
    <t>Allowable Vertical Load Based on Tension Yield (kips)</t>
  </si>
  <si>
    <t>Gusset Plate Combined Planes Horizontal Shear Fracture &amp;Tension Yield C/D Ratio</t>
  </si>
  <si>
    <t>Gusset Plate Combined Planes Vertical Shear Fracture &amp;Tension Yield C/D Ratio</t>
  </si>
  <si>
    <t>Vertical  Member Width</t>
  </si>
  <si>
    <t>Member Axial Loads and End Moments From Truss Analysis:</t>
  </si>
  <si>
    <t>Resolved Axial Loads into Horizontal and Vertical Components in Gusset Plates</t>
  </si>
  <si>
    <t>Gusset Plate Geometric Properties</t>
  </si>
  <si>
    <t>Diag. &amp; Vert. (LT) Horizontal Dir</t>
  </si>
  <si>
    <t>Diag. &amp; Vert. (LT) Vertical Dir</t>
  </si>
  <si>
    <t>Diag. &amp; Vert. (RT) Horizontal Dir</t>
  </si>
  <si>
    <t>Diag. &amp; Vert. (RT) Vertical Dir</t>
  </si>
  <si>
    <t>Maximum Unstiffened Actual Edge Length     (in)</t>
  </si>
  <si>
    <t>Maximum Unstiffened Edge Length Not To Be Exceeded  (in)</t>
  </si>
  <si>
    <t>3: Minimum Rivet Count Requirement</t>
  </si>
  <si>
    <t>Inner/Outer Gusset Plate Max Yield Stress Based on Effective Area (ksi)</t>
  </si>
  <si>
    <t>Side</t>
  </si>
  <si>
    <t>Left</t>
  </si>
  <si>
    <t>Right</t>
  </si>
  <si>
    <t>Inventory (HS20-44)</t>
  </si>
  <si>
    <t>Total No. of Rivets At Member End  for Both Plates (Provided)</t>
  </si>
  <si>
    <t>Max. Axial Load total for Both Plates(kips)</t>
  </si>
  <si>
    <t>Outer Gusset Plate Gross Area for One Plate Only (g)</t>
  </si>
  <si>
    <t>Inner Gusset Plate Net Area for One Plate Only (n)</t>
  </si>
  <si>
    <t>Outer Gusset Plate Net Area for One Plate Only (n)</t>
  </si>
  <si>
    <t>Total Joint Capacity (kips)</t>
  </si>
  <si>
    <t>Total Joint Dead Load (kips)</t>
  </si>
  <si>
    <t>Total Joint Live Load + I (kips)</t>
  </si>
  <si>
    <t>Rating Factor                       (C - DL) / (LL+I)</t>
  </si>
  <si>
    <t>Total Joint Capacity for Bearing on Base Metal (kips)</t>
  </si>
  <si>
    <t>Total Joint Capacity for Bearing on Gusset Plates (kips)</t>
  </si>
  <si>
    <t>Total Joint Capacity for Bearing on Rivets (kips)</t>
  </si>
  <si>
    <t>Total Joint Capacity for  Shear in Rivets (kips)</t>
  </si>
  <si>
    <t>Connection Length in One Plate (in)</t>
  </si>
  <si>
    <t>Total No. of Rivets At Member End in Both Plates</t>
  </si>
  <si>
    <t>Unbraced Column Length For One Plate (in)</t>
  </si>
  <si>
    <t>Inner Gusset Whitmore Area "A" For One Plate (in^2)</t>
  </si>
  <si>
    <t>Inner Gusset Moment of Inertia "I" For One Plate (in^4)</t>
  </si>
  <si>
    <t>Inner Gusset plate Radius of Gyration "r" For One Plate (in)</t>
  </si>
  <si>
    <t>Outer Gusset Whitmore Area "A"  For One Plate (in^2)</t>
  </si>
  <si>
    <t>Outer Gusset Moment of Inertia "I" For One Plate (in^4)</t>
  </si>
  <si>
    <t>Outer Gusset Plate Radius of Gyration "r" For One Plate (in)</t>
  </si>
  <si>
    <t>Dead Axial Load For Both Plates (kips)</t>
  </si>
  <si>
    <t>Max. Compression LL+I For Both Plates (kips)</t>
  </si>
  <si>
    <t>Max. Tension LL+I For Both Plates (kips)</t>
  </si>
  <si>
    <t>Total Max. Compressive Load For Both Plates (kips)</t>
  </si>
  <si>
    <t>Total Max. Tensile Load For Both Plates (kips)</t>
  </si>
  <si>
    <t>Horizontal Component Dead Load For Both Plates (kips)</t>
  </si>
  <si>
    <t>Vertical Component Dead Load For Both Plates (kips)</t>
  </si>
  <si>
    <t>Horizontal Component Max. Compression LL+I For Both Plates (kips)</t>
  </si>
  <si>
    <t>Vertical Component Max. Compression LL+I For Both Plates (kips)</t>
  </si>
  <si>
    <t>Horizontal Component Max. Tension LL+I For Both Plates (kips)</t>
  </si>
  <si>
    <t>Vertical Component Max. Tension LL+I For Both Plates (kips)</t>
  </si>
  <si>
    <t>Horizontal Component Total Max. Compressive Load DL+LL+I For Both Plates (kips)</t>
  </si>
  <si>
    <t>Vertical Component Total Max. Compressive Load DL+LL+I For Both Plates (kips)</t>
  </si>
  <si>
    <t>Horizontal Component Total Max. Tensile Load DL+LL+I For Both Plates (kips)</t>
  </si>
  <si>
    <t>Vertical Component Total Max. Tensile Load DL+LL+I For Both Plates (kips)</t>
  </si>
  <si>
    <t>Max. Axial Load* For Both Plates (kips)</t>
  </si>
  <si>
    <t>Whitmore Effective Gross Width "b" For One Plate (in)</t>
  </si>
  <si>
    <t>Whitmore Effective Net Width "b" For One Plate (in)</t>
  </si>
  <si>
    <t>An - Net Area for Both Plates (sq in)</t>
  </si>
  <si>
    <t>Ag - Gross Area for Both Plates (sq in)</t>
  </si>
  <si>
    <t>Beta (β) =</t>
  </si>
  <si>
    <t>Ae - Effective Area for Both Plates (An + β*Ag)  (sq in)</t>
  </si>
  <si>
    <t>Total Joint Capacity For Both Plates (kips)</t>
  </si>
  <si>
    <t>Rating Factor For Both Plates                                         (C - DL) / (LL+I)</t>
  </si>
  <si>
    <t>Max. Joint Axial Load For Both Plates (kips)</t>
  </si>
  <si>
    <t>Total Base Metal Thickness For Both Sides (inch)</t>
  </si>
  <si>
    <t>Ag - Inner Gusset Plate Gross Area (sq in)</t>
  </si>
  <si>
    <t>An - Inner Gusset Plate Net Area* (sq in)</t>
  </si>
  <si>
    <t>Outer Gusset Plate Gross Area (sq in)</t>
  </si>
  <si>
    <t>Outer Gusset Plate Net Area (sq in)</t>
  </si>
  <si>
    <t>An - Inner Gusset Plate Net Area (sq in)</t>
  </si>
  <si>
    <t>An - Inner Gusset Plate Net Area For Both Sides (sq in)</t>
  </si>
  <si>
    <t>Ag - Inner Gusset Plate Gross Area For Both Sides (sq in)</t>
  </si>
  <si>
    <t>Outer Gusset Plate Net Area For Both Sides               (sq in)</t>
  </si>
  <si>
    <t>Outer Gusset Plate Gross Area For Both Sides                                (sq in)</t>
  </si>
  <si>
    <t>Horizontal Component  Tensile DL (kips)</t>
  </si>
  <si>
    <t>Horizontal Component Tensile  LL + I  (kips)</t>
  </si>
  <si>
    <t>Vertical Component  Tensile DL (kips)</t>
  </si>
  <si>
    <t>Vertical Component Tensile  LL + I  (kips)</t>
  </si>
  <si>
    <t>Total Allowable Vertical Load Capacity (kips)</t>
  </si>
  <si>
    <t>Total Allowable Horizontal Load Capacity (kips)</t>
  </si>
  <si>
    <t>Horizontal Component Total Max. Tensile Load DL  (kips)</t>
  </si>
  <si>
    <t>Vertical Component Total Max. Compressive Load DL  (kips)</t>
  </si>
  <si>
    <t>Horizontal Component Total Max. Compressive Load DL  (kips)</t>
  </si>
  <si>
    <t>Vertical Component Total Max. Tensile Load DL  (kips)</t>
  </si>
  <si>
    <t>Horizontal Component Total Max. Compressive Load LL+I  (kips)</t>
  </si>
  <si>
    <t>Vertical Component Total Max. Compressive Load LL+I  (kips)</t>
  </si>
  <si>
    <t>Horizontal Component Total Max. Tensile Load LL+I  (kips)</t>
  </si>
  <si>
    <t>Vertical Component Total Max. Tensile Load LL+I  (kips)</t>
  </si>
  <si>
    <t>Capacity of Horizontal Shear for Both Plates Based on Gross Area (kips)</t>
  </si>
  <si>
    <t>Capacity of Horizontal Shear For Both Plates Based On Net Area (kips)</t>
  </si>
  <si>
    <t>Capacity of Vertical Shear for Both Plates Based on Gross Area (kips)</t>
  </si>
  <si>
    <t>Capacity of Vertical Shear For Both Plates Based On Net Area (kips)</t>
  </si>
  <si>
    <t xml:space="preserve">ksi  </t>
  </si>
  <si>
    <t>Gusset Plate Thickness For Both Plates (inch)</t>
  </si>
  <si>
    <t>1.5 x Sum of All DL Horizontal Shear For Both Plates  (kips)</t>
  </si>
  <si>
    <t>1.5 x Sum of All LL + I Horizontal Shear For Both Plates (kips)</t>
  </si>
  <si>
    <t>1.5 x Sum of All DL Vertical Shear For Both Plates  (kips)</t>
  </si>
  <si>
    <t>1.5 x Sum of All LL + I Vertical Shear For Both Plates (kips)</t>
  </si>
  <si>
    <t>Shear Stress*</t>
  </si>
  <si>
    <t>* Use 1/2 the shear length in chords due to fractured section</t>
  </si>
  <si>
    <t>Allowable Load For Block Shear 1                        FyAvg + FuAtn (kips)</t>
  </si>
  <si>
    <t>Allowable Load For Block Shear 2                        FuAvn + FyAtg (kips)</t>
  </si>
  <si>
    <t>Meets Block Shear Rupture Resistance Requirement</t>
  </si>
  <si>
    <t>Block Shear Rupture Resistance C/D Ratio</t>
  </si>
  <si>
    <t>Block Shear Capacity 2                             (FuAvn + FyAtg)                 For Both Plates                  (kips)</t>
  </si>
  <si>
    <t>Block shear Capacity 1                       (FyAvg + FuAtn)             For Both Plates (kips)</t>
  </si>
  <si>
    <t>Total Joint DL  For Both Plates (kips)</t>
  </si>
  <si>
    <t>Total Joint LL + I                                       For Both Plates (kips)</t>
  </si>
  <si>
    <t>Total Joint Block Shear Capacity For Both Plates (kips)</t>
  </si>
  <si>
    <t>Allowable Load For Block Shear 2                                           FuAvn + FyAtg (kips)</t>
  </si>
  <si>
    <t>Block Shear Capacity 1                       (FyAvg + FuAtn)             For Both Plates (kips)</t>
  </si>
  <si>
    <t>Block shear Capacity 2                              (FuAvn + FyAtg)                 For Both Plates                  (kips)</t>
  </si>
  <si>
    <t>Upper Quadrant Net Horizontal Width for One Gusset Only (in)</t>
  </si>
  <si>
    <t>Upper Quadrant Gross Horizontal Width for One Gusset Only  (in)</t>
  </si>
  <si>
    <t>Upper Quadrant Gross Vertical Width for One Gusset Only  (in)</t>
  </si>
  <si>
    <t>Upper Quadrant Net Vertical Width for One Gusset Only  (in)</t>
  </si>
  <si>
    <t>Total Horizontal Component Max. Tensile Load DL (kips)</t>
  </si>
  <si>
    <t>Total Vertical Component Max. Tensile Load DL (kips)</t>
  </si>
  <si>
    <t>Total Horizontal Component Max. Tensile Load LL+I (kips)</t>
  </si>
  <si>
    <t>Total Vertical Component Max. Tensile Load LL+I (kips)</t>
  </si>
  <si>
    <t>Total Horizontal Component Max. Tensile Load DL+LL+I (kips)</t>
  </si>
  <si>
    <t>Total Vertical Component Max. Tensile Load DL+LL+I (kips)</t>
  </si>
  <si>
    <t>Gross Area For Both plates            (sq. in.)</t>
  </si>
  <si>
    <t>Net Area For Both Plates                 (sq. in.)</t>
  </si>
  <si>
    <t>Net Width for One Gusset Only                 (inch)</t>
  </si>
  <si>
    <t>Gross Width for One Gusset Only                       (inch)</t>
  </si>
  <si>
    <t>A. Consider Shear Yield &amp; Tension Fracture</t>
  </si>
  <si>
    <t>B . Consider Shear Fracture &amp; Tension Yield</t>
  </si>
  <si>
    <t>* Load directions are negative when pointing left or down and positive when pointing right or up</t>
  </si>
  <si>
    <t>Total</t>
  </si>
  <si>
    <t>Dead Load  -  (DL) For Both Plates</t>
  </si>
  <si>
    <t>Live Load + Impact  -  (LL + I) For Both Plates</t>
  </si>
  <si>
    <t>DL + (LL + I) For Both Plates</t>
  </si>
  <si>
    <t xml:space="preserve"> (HS20-44)</t>
  </si>
  <si>
    <t>Ratio</t>
  </si>
  <si>
    <t>Rating Factor  (RF= Capacity - DL /  LL+I)</t>
  </si>
  <si>
    <t>Joint Rating Output Summary</t>
  </si>
  <si>
    <t>2. RF</t>
  </si>
  <si>
    <t>3. RF</t>
  </si>
  <si>
    <t>4. RF</t>
  </si>
  <si>
    <t>6. RF</t>
  </si>
  <si>
    <t>7. RF</t>
  </si>
  <si>
    <t>8a. RF</t>
  </si>
  <si>
    <t>8b. RF</t>
  </si>
  <si>
    <t>9a. RF</t>
  </si>
  <si>
    <t>9b. RF</t>
  </si>
  <si>
    <t>*Capacity/Demand (C/D)</t>
  </si>
  <si>
    <t xml:space="preserve">* For Informational &amp; Design Purposes </t>
  </si>
  <si>
    <t>Rating Factor For Axial Loading Acting on Rivets</t>
  </si>
  <si>
    <t>4: Gusset Plate Local Tension Yield and Fracture</t>
  </si>
  <si>
    <t>Rating Factor For Local Tension and Fracture</t>
  </si>
  <si>
    <t>Rating Factor For Axial Tension &amp; Shear Rupture Resistance (Block Shear)</t>
  </si>
  <si>
    <t>Rating Factor For Tear Out (Block Shear)</t>
  </si>
  <si>
    <t>Rating Factor For Combined Planes Shear Rupture Resistance (Horizontal)</t>
  </si>
  <si>
    <t>Rating Factor For Combined Planes Shear Rupture Resistance (Vertical)</t>
  </si>
  <si>
    <t>Rating Factor For Shear Fracture &amp; Tension Yield (Horizontal)</t>
  </si>
  <si>
    <t>Rating Factor  For Shear Fracture &amp; Tension Yield (Vertical)</t>
  </si>
  <si>
    <t>B . Rating Factor For Global Shear Yielding and Fracturing Requirement (Vertical Shear Only)</t>
  </si>
  <si>
    <t>A. Rating Factor For Global Shear Yielding and Fracturing Requirement (Horizontal Shear Only)</t>
  </si>
  <si>
    <t>Rating Factor For Local Compression Buckling Under Whitmore Effective Width</t>
  </si>
  <si>
    <t>Joint Location Factor =</t>
  </si>
  <si>
    <t>Note:  Global shear is components of diagonal and vertical member forces  trying to shear the gusset plate in the horizontal and vertical direction</t>
  </si>
  <si>
    <t>Horizontal Component Direction*</t>
  </si>
  <si>
    <t>Vertical Component Direction*</t>
  </si>
  <si>
    <t>Inner + Outer Plates</t>
  </si>
  <si>
    <t>Rating Type:</t>
  </si>
  <si>
    <r>
      <rPr>
        <b/>
        <sz val="10"/>
        <color indexed="10"/>
        <rFont val="Arial"/>
        <family val="2"/>
      </rPr>
      <t>Disclaimer Note:</t>
    </r>
    <r>
      <rPr>
        <sz val="10"/>
        <color indexed="10"/>
        <rFont val="Arial"/>
        <family val="2"/>
      </rPr>
      <t xml:space="preserve"> The Office of Structural Engineering is providing this spreadsheet to facilitate the use of FHWA’s guidance for rating gusset plates on truss bridges.  While bridge rating personnel are encouraged to use this spreadsheet for the reason of standardizing the rating procedures, they are responsible for the accuracy of input data, output results, and all calculations ensuring safety of the public.  </t>
    </r>
  </si>
  <si>
    <t>5: Gusset Plate Axial Tension &amp; Shear Rupture Resistance (Block Shear)</t>
  </si>
  <si>
    <t>6: Members Tear Out (Block Shear)</t>
  </si>
  <si>
    <t>7: Gusset Plate Combined Planes Shear Rupture Resistance</t>
  </si>
  <si>
    <t>8: Gusset Plate Global Shear Yielding and Fracturing Requirement (Shear Only)</t>
  </si>
  <si>
    <t>* Use 50% of the max compression load if butt ends were milled  in chord members- AASHTO 10.18.3</t>
  </si>
  <si>
    <t>Note:  Buckling is ignored if butt-end surfaces are milled in chord members</t>
  </si>
  <si>
    <t>Total Joint Dead Load* (kips)</t>
  </si>
  <si>
    <t>Total Joint Live Load + I* (kips)</t>
  </si>
  <si>
    <t>End of Gusset Rating Checks</t>
  </si>
  <si>
    <t>Axial Loading Causing Shear in Rivets</t>
  </si>
  <si>
    <t>Minimum R.F. =</t>
  </si>
  <si>
    <t>Assumption: Pick maximum load values for each member from the truss analysis output at the considered truss joint and assume these loads are acting simultaneously.</t>
  </si>
  <si>
    <t>Load Reduction %</t>
  </si>
  <si>
    <t>Upper</t>
  </si>
  <si>
    <t>Diagonal</t>
  </si>
  <si>
    <t>Joint No.</t>
  </si>
  <si>
    <t>Max Unsupported Edge Length At Joint  in Any Direction (in)</t>
  </si>
  <si>
    <t>% Load</t>
  </si>
  <si>
    <t>For Future Use</t>
  </si>
  <si>
    <t>Minimum Member Thickness (in)</t>
  </si>
  <si>
    <t>6b</t>
  </si>
  <si>
    <t>Number of Rivet Holes in One Side Only</t>
  </si>
  <si>
    <t xml:space="preserve">Number of Rivet Holes to Deduct  from Effective Gross Whitmore Width </t>
  </si>
  <si>
    <t>Note: For Chords, Enter Length For Both Lines</t>
  </si>
  <si>
    <t>Total Number of Connectors For One Line For One Plate at Member Ends (Each)</t>
  </si>
  <si>
    <t>*Diagonal (LT)</t>
  </si>
  <si>
    <t>*Diagonal (RT)</t>
  </si>
  <si>
    <t>To protect against accidental changes, you lock the cells below this point. Please call Omar Abu-Hajar, Office of Structural Engineering  (614-387-1257) for any comments or questions.</t>
  </si>
  <si>
    <t>Updated January 2010</t>
  </si>
  <si>
    <t>Cal to CL Outer Rivets</t>
  </si>
  <si>
    <t>* Regardless Whether there is a diagonal or not</t>
  </si>
  <si>
    <t>Connection Length For One Line of Connectors For One Plate at Member Ends (Each)</t>
  </si>
</sst>
</file>

<file path=xl/styles.xml><?xml version="1.0" encoding="utf-8"?>
<styleSheet xmlns="http://schemas.openxmlformats.org/spreadsheetml/2006/main">
  <numFmts count="4">
    <numFmt numFmtId="164" formatCode="0.0000"/>
    <numFmt numFmtId="165" formatCode="0.000"/>
    <numFmt numFmtId="166" formatCode="0.0"/>
    <numFmt numFmtId="167" formatCode="#,##0.000"/>
  </numFmts>
  <fonts count="34">
    <font>
      <sz val="10"/>
      <name val="Arial"/>
    </font>
    <font>
      <sz val="10"/>
      <name val="Arial"/>
      <family val="2"/>
    </font>
    <font>
      <sz val="8"/>
      <name val="Arial"/>
      <family val="2"/>
    </font>
    <font>
      <b/>
      <sz val="10"/>
      <name val="Arial"/>
      <family val="2"/>
    </font>
    <font>
      <sz val="10"/>
      <name val="Arial"/>
      <family val="2"/>
    </font>
    <font>
      <b/>
      <sz val="11"/>
      <name val="Arial"/>
      <family val="2"/>
    </font>
    <font>
      <sz val="11"/>
      <name val="Arial"/>
      <family val="2"/>
    </font>
    <font>
      <b/>
      <sz val="14"/>
      <name val="Arial"/>
      <family val="2"/>
    </font>
    <font>
      <b/>
      <sz val="8"/>
      <name val="Arial"/>
      <family val="2"/>
    </font>
    <font>
      <b/>
      <sz val="10"/>
      <color indexed="12"/>
      <name val="Arial"/>
      <family val="2"/>
    </font>
    <font>
      <b/>
      <sz val="12"/>
      <name val="Arial"/>
      <family val="2"/>
    </font>
    <font>
      <sz val="8"/>
      <color indexed="81"/>
      <name val="Tahoma"/>
      <family val="2"/>
    </font>
    <font>
      <b/>
      <sz val="8"/>
      <color indexed="81"/>
      <name val="Tahoma"/>
      <family val="2"/>
    </font>
    <font>
      <b/>
      <sz val="9"/>
      <name val="Arial"/>
      <family val="2"/>
    </font>
    <font>
      <sz val="12"/>
      <name val="Arial"/>
      <family val="2"/>
    </font>
    <font>
      <sz val="10"/>
      <color indexed="10"/>
      <name val="Arial"/>
      <family val="2"/>
    </font>
    <font>
      <b/>
      <sz val="10"/>
      <color indexed="10"/>
      <name val="Arial"/>
      <family val="2"/>
    </font>
    <font>
      <b/>
      <u/>
      <sz val="10"/>
      <name val="Arial"/>
      <family val="2"/>
    </font>
    <font>
      <b/>
      <u/>
      <sz val="12"/>
      <name val="Arial"/>
      <family val="2"/>
    </font>
    <font>
      <sz val="9"/>
      <name val="Arial"/>
      <family val="2"/>
    </font>
    <font>
      <sz val="10"/>
      <color indexed="22"/>
      <name val="Arial"/>
      <family val="2"/>
    </font>
    <font>
      <b/>
      <sz val="20"/>
      <name val="Arial"/>
      <family val="2"/>
    </font>
    <font>
      <sz val="10"/>
      <color indexed="22"/>
      <name val="Arial"/>
      <family val="2"/>
    </font>
    <font>
      <sz val="12"/>
      <color indexed="9"/>
      <name val="Arial"/>
      <family val="2"/>
    </font>
    <font>
      <sz val="10"/>
      <color indexed="10"/>
      <name val="Arial"/>
      <family val="2"/>
    </font>
    <font>
      <b/>
      <sz val="14"/>
      <color indexed="10"/>
      <name val="Arial"/>
      <family val="2"/>
    </font>
    <font>
      <sz val="10"/>
      <color indexed="8"/>
      <name val="Arial"/>
      <family val="2"/>
    </font>
    <font>
      <b/>
      <sz val="10"/>
      <color indexed="8"/>
      <name val="Arial"/>
      <family val="2"/>
    </font>
    <font>
      <sz val="10"/>
      <color indexed="9"/>
      <name val="Arial"/>
      <family val="2"/>
    </font>
    <font>
      <b/>
      <sz val="10"/>
      <color indexed="9"/>
      <name val="Arial"/>
      <family val="2"/>
    </font>
    <font>
      <sz val="10"/>
      <color rgb="FFFF0000"/>
      <name val="Arial"/>
      <family val="2"/>
    </font>
    <font>
      <sz val="10"/>
      <color theme="0"/>
      <name val="Arial"/>
      <family val="2"/>
    </font>
    <font>
      <b/>
      <sz val="10"/>
      <color theme="0"/>
      <name val="Arial"/>
      <family val="2"/>
    </font>
    <font>
      <sz val="10"/>
      <color theme="1"/>
      <name val="Arial"/>
      <family val="2"/>
    </font>
  </fonts>
  <fills count="20">
    <fill>
      <patternFill patternType="none"/>
    </fill>
    <fill>
      <patternFill patternType="gray125"/>
    </fill>
    <fill>
      <patternFill patternType="solid">
        <fgColor indexed="41"/>
        <bgColor indexed="64"/>
      </patternFill>
    </fill>
    <fill>
      <patternFill patternType="solid">
        <fgColor indexed="51"/>
        <bgColor indexed="64"/>
      </patternFill>
    </fill>
    <fill>
      <patternFill patternType="solid">
        <fgColor indexed="49"/>
        <bgColor indexed="64"/>
      </patternFill>
    </fill>
    <fill>
      <patternFill patternType="solid">
        <fgColor indexed="47"/>
        <bgColor indexed="64"/>
      </patternFill>
    </fill>
    <fill>
      <patternFill patternType="solid">
        <fgColor indexed="42"/>
        <bgColor indexed="64"/>
      </patternFill>
    </fill>
    <fill>
      <patternFill patternType="solid">
        <fgColor indexed="13"/>
        <bgColor indexed="64"/>
      </patternFill>
    </fill>
    <fill>
      <patternFill patternType="solid">
        <fgColor indexed="31"/>
        <bgColor indexed="64"/>
      </patternFill>
    </fill>
    <fill>
      <patternFill patternType="solid">
        <fgColor indexed="43"/>
        <bgColor indexed="64"/>
      </patternFill>
    </fill>
    <fill>
      <patternFill patternType="solid">
        <fgColor indexed="9"/>
        <bgColor indexed="64"/>
      </patternFill>
    </fill>
    <fill>
      <patternFill patternType="solid">
        <fgColor indexed="22"/>
        <bgColor indexed="64"/>
      </patternFill>
    </fill>
    <fill>
      <patternFill patternType="solid">
        <fgColor indexed="27"/>
        <bgColor indexed="64"/>
      </patternFill>
    </fill>
    <fill>
      <patternFill patternType="solid">
        <fgColor indexed="8"/>
        <bgColor indexed="64"/>
      </patternFill>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2" tint="-0.499984740745262"/>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thin">
        <color indexed="64"/>
      </left>
      <right style="thin">
        <color indexed="64"/>
      </right>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3">
    <xf numFmtId="0" fontId="0" fillId="0" borderId="0"/>
    <xf numFmtId="0" fontId="1" fillId="0" borderId="0"/>
    <xf numFmtId="9" fontId="1" fillId="0" borderId="0" applyFont="0" applyFill="0" applyBorder="0" applyAlignment="0" applyProtection="0"/>
  </cellStyleXfs>
  <cellXfs count="467">
    <xf numFmtId="0" fontId="0" fillId="0" borderId="0" xfId="0"/>
    <xf numFmtId="0" fontId="0" fillId="0" borderId="0" xfId="0" applyAlignment="1">
      <alignment horizontal="center"/>
    </xf>
    <xf numFmtId="164" fontId="3" fillId="0" borderId="1" xfId="0" applyNumberFormat="1" applyFont="1" applyBorder="1" applyAlignment="1">
      <alignment horizontal="center" vertical="center" wrapText="1"/>
    </xf>
    <xf numFmtId="2" fontId="4" fillId="0" borderId="1" xfId="0" applyNumberFormat="1" applyFont="1" applyBorder="1" applyAlignment="1">
      <alignment horizontal="center"/>
    </xf>
    <xf numFmtId="0" fontId="3" fillId="0" borderId="0" xfId="0" applyFont="1"/>
    <xf numFmtId="0" fontId="13" fillId="0" borderId="1" xfId="0" applyFont="1" applyBorder="1" applyAlignment="1">
      <alignment horizontal="center" vertical="center" wrapText="1"/>
    </xf>
    <xf numFmtId="0" fontId="4" fillId="0" borderId="0" xfId="0" applyFont="1"/>
    <xf numFmtId="0" fontId="3" fillId="0" borderId="0" xfId="0" applyFont="1" applyBorder="1" applyAlignment="1">
      <alignment horizontal="center" vertical="center" wrapText="1"/>
    </xf>
    <xf numFmtId="0" fontId="0" fillId="0" borderId="0" xfId="0" applyBorder="1" applyAlignment="1">
      <alignment horizontal="center"/>
    </xf>
    <xf numFmtId="0" fontId="4" fillId="0" borderId="0" xfId="0" applyFont="1" applyBorder="1" applyAlignment="1">
      <alignment horizontal="center"/>
    </xf>
    <xf numFmtId="0" fontId="8" fillId="0" borderId="1" xfId="0" applyFont="1" applyBorder="1" applyAlignment="1">
      <alignment horizontal="center" vertical="center" wrapText="1"/>
    </xf>
    <xf numFmtId="164" fontId="8" fillId="0" borderId="1" xfId="0" applyNumberFormat="1" applyFont="1" applyBorder="1" applyAlignment="1">
      <alignment horizontal="center" vertical="center" wrapText="1"/>
    </xf>
    <xf numFmtId="164" fontId="8" fillId="2" borderId="1" xfId="0" applyNumberFormat="1" applyFont="1" applyFill="1" applyBorder="1" applyAlignment="1">
      <alignment horizontal="center" vertical="center" wrapText="1"/>
    </xf>
    <xf numFmtId="0" fontId="3" fillId="0" borderId="0" xfId="0" applyFont="1" applyBorder="1" applyAlignment="1">
      <alignment vertical="center"/>
    </xf>
    <xf numFmtId="0" fontId="3" fillId="3"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1" fontId="4" fillId="0" borderId="1" xfId="0" applyNumberFormat="1" applyFont="1" applyBorder="1" applyAlignment="1">
      <alignment horizontal="center"/>
    </xf>
    <xf numFmtId="1" fontId="4" fillId="0" borderId="1" xfId="0" applyNumberFormat="1" applyFont="1" applyBorder="1" applyAlignment="1">
      <alignment horizontal="center" vertical="center"/>
    </xf>
    <xf numFmtId="2" fontId="4" fillId="0" borderId="1" xfId="0" applyNumberFormat="1" applyFont="1" applyBorder="1" applyAlignment="1">
      <alignment horizontal="center" vertical="center"/>
    </xf>
    <xf numFmtId="1" fontId="4" fillId="0" borderId="0" xfId="0" applyNumberFormat="1" applyFont="1" applyBorder="1" applyAlignment="1">
      <alignment horizontal="center" vertical="center"/>
    </xf>
    <xf numFmtId="2" fontId="4" fillId="0" borderId="0" xfId="0" applyNumberFormat="1" applyFont="1" applyBorder="1" applyAlignment="1">
      <alignment horizontal="center" vertical="center"/>
    </xf>
    <xf numFmtId="164" fontId="4" fillId="0" borderId="1" xfId="0" applyNumberFormat="1" applyFont="1" applyBorder="1" applyAlignment="1">
      <alignment horizontal="center"/>
    </xf>
    <xf numFmtId="0" fontId="3" fillId="0" borderId="1" xfId="0" applyFont="1" applyFill="1" applyBorder="1" applyAlignment="1">
      <alignment horizontal="center" vertical="center"/>
    </xf>
    <xf numFmtId="166" fontId="4" fillId="0" borderId="1" xfId="0" applyNumberFormat="1" applyFont="1" applyBorder="1" applyAlignment="1">
      <alignment horizontal="center"/>
    </xf>
    <xf numFmtId="166" fontId="3" fillId="0" borderId="1" xfId="0" applyNumberFormat="1" applyFont="1" applyBorder="1" applyAlignment="1">
      <alignment horizontal="center"/>
    </xf>
    <xf numFmtId="165" fontId="4" fillId="0" borderId="1" xfId="0" applyNumberFormat="1" applyFont="1" applyBorder="1" applyAlignment="1">
      <alignment horizontal="center"/>
    </xf>
    <xf numFmtId="165" fontId="4" fillId="5" borderId="1" xfId="0" applyNumberFormat="1" applyFont="1" applyFill="1" applyBorder="1" applyAlignment="1">
      <alignment horizontal="center"/>
    </xf>
    <xf numFmtId="1" fontId="16" fillId="0" borderId="1" xfId="0" applyNumberFormat="1" applyFont="1" applyBorder="1" applyAlignment="1">
      <alignment horizontal="center"/>
    </xf>
    <xf numFmtId="1" fontId="15" fillId="0" borderId="1" xfId="0" applyNumberFormat="1" applyFont="1" applyBorder="1" applyAlignment="1">
      <alignment horizontal="center"/>
    </xf>
    <xf numFmtId="166" fontId="3" fillId="6" borderId="1" xfId="0" applyNumberFormat="1" applyFont="1" applyFill="1" applyBorder="1" applyAlignment="1">
      <alignment horizontal="center"/>
    </xf>
    <xf numFmtId="0" fontId="3" fillId="0" borderId="2" xfId="0" applyFont="1" applyFill="1" applyBorder="1" applyAlignment="1">
      <alignment horizontal="center"/>
    </xf>
    <xf numFmtId="1" fontId="4" fillId="0" borderId="1" xfId="0" applyNumberFormat="1" applyFont="1" applyFill="1" applyBorder="1" applyAlignment="1">
      <alignment horizontal="center"/>
    </xf>
    <xf numFmtId="0" fontId="4" fillId="0" borderId="0" xfId="0" applyFont="1" applyBorder="1" applyAlignment="1">
      <alignment horizontal="center" vertical="center"/>
    </xf>
    <xf numFmtId="166" fontId="4" fillId="0" borderId="0" xfId="0" applyNumberFormat="1" applyFont="1" applyBorder="1" applyAlignment="1">
      <alignment horizontal="center"/>
    </xf>
    <xf numFmtId="1" fontId="4" fillId="0" borderId="0" xfId="0" applyNumberFormat="1" applyFont="1" applyFill="1" applyBorder="1" applyAlignment="1">
      <alignment horizontal="center"/>
    </xf>
    <xf numFmtId="166" fontId="3" fillId="0" borderId="0" xfId="0" applyNumberFormat="1" applyFont="1" applyBorder="1" applyAlignment="1">
      <alignment horizontal="center"/>
    </xf>
    <xf numFmtId="0" fontId="4" fillId="0" borderId="0" xfId="0" applyFont="1" applyFill="1" applyBorder="1"/>
    <xf numFmtId="0" fontId="4" fillId="0" borderId="0" xfId="0" applyFont="1" applyBorder="1" applyAlignment="1"/>
    <xf numFmtId="2" fontId="3" fillId="0" borderId="0" xfId="0" applyNumberFormat="1" applyFont="1" applyBorder="1" applyAlignment="1">
      <alignment horizontal="left"/>
    </xf>
    <xf numFmtId="2" fontId="3" fillId="0" borderId="0" xfId="0" applyNumberFormat="1" applyFont="1" applyFill="1" applyBorder="1" applyAlignment="1">
      <alignment horizontal="left"/>
    </xf>
    <xf numFmtId="0" fontId="4" fillId="0" borderId="0" xfId="0" applyFont="1" applyBorder="1" applyAlignment="1">
      <alignment vertical="center"/>
    </xf>
    <xf numFmtId="164" fontId="4" fillId="0" borderId="0" xfId="0" applyNumberFormat="1" applyFont="1" applyBorder="1"/>
    <xf numFmtId="166" fontId="4" fillId="0" borderId="0" xfId="0" applyNumberFormat="1" applyFont="1" applyBorder="1"/>
    <xf numFmtId="167" fontId="4" fillId="0" borderId="0" xfId="0" applyNumberFormat="1" applyFont="1" applyBorder="1"/>
    <xf numFmtId="2" fontId="4" fillId="0" borderId="0" xfId="0" applyNumberFormat="1" applyFont="1" applyBorder="1"/>
    <xf numFmtId="2" fontId="4" fillId="7" borderId="0" xfId="0" applyNumberFormat="1" applyFont="1" applyFill="1" applyBorder="1"/>
    <xf numFmtId="0" fontId="4" fillId="7" borderId="0" xfId="0" applyFont="1" applyFill="1" applyBorder="1"/>
    <xf numFmtId="0" fontId="17" fillId="0" borderId="0" xfId="0" applyFont="1" applyBorder="1" applyAlignment="1">
      <alignment horizontal="left"/>
    </xf>
    <xf numFmtId="164" fontId="13" fillId="0" borderId="1" xfId="0" applyNumberFormat="1" applyFont="1" applyBorder="1" applyAlignment="1">
      <alignment horizontal="center" vertical="center" wrapText="1"/>
    </xf>
    <xf numFmtId="0" fontId="13" fillId="5"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164" fontId="4" fillId="0" borderId="1" xfId="0" applyNumberFormat="1" applyFont="1" applyBorder="1" applyAlignment="1">
      <alignment horizontal="center" vertical="center"/>
    </xf>
    <xf numFmtId="0" fontId="8" fillId="4"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18" fillId="0" borderId="0" xfId="0" applyFont="1" applyBorder="1" applyAlignment="1">
      <alignment horizontal="left"/>
    </xf>
    <xf numFmtId="0" fontId="14" fillId="0" borderId="0" xfId="0" applyFont="1" applyBorder="1" applyAlignment="1">
      <alignment horizontal="left" vertical="center"/>
    </xf>
    <xf numFmtId="2" fontId="3" fillId="0" borderId="1" xfId="0" applyNumberFormat="1" applyFont="1" applyBorder="1" applyAlignment="1">
      <alignment horizontal="center"/>
    </xf>
    <xf numFmtId="0" fontId="3" fillId="0" borderId="0" xfId="0" applyFont="1" applyFill="1" applyBorder="1" applyAlignment="1">
      <alignment horizontal="left" vertical="center"/>
    </xf>
    <xf numFmtId="1" fontId="4" fillId="0" borderId="0" xfId="0" applyNumberFormat="1" applyFont="1" applyBorder="1"/>
    <xf numFmtId="0" fontId="4" fillId="0" borderId="0" xfId="0" applyFont="1" applyBorder="1" applyAlignment="1">
      <alignment vertical="center" wrapText="1"/>
    </xf>
    <xf numFmtId="2" fontId="3" fillId="5" borderId="1" xfId="0" applyNumberFormat="1" applyFont="1" applyFill="1" applyBorder="1" applyAlignment="1">
      <alignment horizontal="center"/>
    </xf>
    <xf numFmtId="0" fontId="16" fillId="0" borderId="0" xfId="0" applyFont="1" applyBorder="1"/>
    <xf numFmtId="2" fontId="4" fillId="0" borderId="1" xfId="0" applyNumberFormat="1" applyFont="1" applyFill="1" applyBorder="1" applyAlignment="1">
      <alignment horizontal="center"/>
    </xf>
    <xf numFmtId="2" fontId="4" fillId="6" borderId="1" xfId="0" applyNumberFormat="1" applyFont="1" applyFill="1" applyBorder="1" applyAlignment="1">
      <alignment horizontal="center"/>
    </xf>
    <xf numFmtId="2" fontId="4" fillId="5" borderId="1" xfId="0" applyNumberFormat="1" applyFont="1" applyFill="1" applyBorder="1" applyAlignment="1">
      <alignment horizontal="center"/>
    </xf>
    <xf numFmtId="1" fontId="0" fillId="0" borderId="0" xfId="0" applyNumberFormat="1"/>
    <xf numFmtId="0" fontId="4" fillId="0" borderId="0" xfId="0" applyFont="1" applyBorder="1" applyAlignment="1">
      <alignment horizontal="left" wrapText="1"/>
    </xf>
    <xf numFmtId="0" fontId="3" fillId="8" borderId="1" xfId="0" applyFont="1" applyFill="1" applyBorder="1" applyAlignment="1">
      <alignment horizontal="center" vertical="center" wrapText="1"/>
    </xf>
    <xf numFmtId="1" fontId="4" fillId="8" borderId="1" xfId="0" applyNumberFormat="1" applyFont="1" applyFill="1" applyBorder="1" applyAlignment="1">
      <alignment horizontal="center"/>
    </xf>
    <xf numFmtId="165" fontId="4" fillId="0" borderId="1" xfId="0" applyNumberFormat="1" applyFont="1" applyBorder="1" applyAlignment="1">
      <alignment horizontal="center" vertical="center"/>
    </xf>
    <xf numFmtId="165" fontId="3" fillId="0" borderId="1" xfId="0" applyNumberFormat="1" applyFont="1" applyBorder="1" applyAlignment="1">
      <alignment horizontal="center" vertical="center" wrapText="1"/>
    </xf>
    <xf numFmtId="165" fontId="3" fillId="9" borderId="1" xfId="0" applyNumberFormat="1" applyFont="1" applyFill="1" applyBorder="1" applyAlignment="1">
      <alignment horizontal="center" vertical="center" wrapText="1"/>
    </xf>
    <xf numFmtId="165" fontId="3" fillId="8" borderId="1" xfId="0" applyNumberFormat="1" applyFont="1" applyFill="1" applyBorder="1" applyAlignment="1">
      <alignment horizontal="center" vertical="center" wrapText="1"/>
    </xf>
    <xf numFmtId="0" fontId="3" fillId="9" borderId="1" xfId="0" applyFont="1" applyFill="1" applyBorder="1" applyAlignment="1">
      <alignment horizontal="center" vertical="center" wrapText="1"/>
    </xf>
    <xf numFmtId="2" fontId="4" fillId="9" borderId="1" xfId="0" applyNumberFormat="1" applyFont="1" applyFill="1" applyBorder="1" applyAlignment="1">
      <alignment horizontal="center"/>
    </xf>
    <xf numFmtId="2" fontId="4" fillId="8" borderId="1" xfId="0" applyNumberFormat="1" applyFont="1" applyFill="1" applyBorder="1" applyAlignment="1">
      <alignment horizontal="center"/>
    </xf>
    <xf numFmtId="2" fontId="3" fillId="0" borderId="1" xfId="0" applyNumberFormat="1" applyFont="1" applyFill="1" applyBorder="1" applyAlignment="1">
      <alignment horizontal="center"/>
    </xf>
    <xf numFmtId="0" fontId="9" fillId="7" borderId="0" xfId="0" applyFont="1" applyFill="1" applyAlignment="1">
      <alignment horizontal="right"/>
    </xf>
    <xf numFmtId="0" fontId="9" fillId="7" borderId="0" xfId="0" applyNumberFormat="1" applyFont="1" applyFill="1" applyAlignment="1">
      <alignment horizontal="left"/>
    </xf>
    <xf numFmtId="0" fontId="13" fillId="8" borderId="1" xfId="0" applyFont="1" applyFill="1" applyBorder="1" applyAlignment="1">
      <alignment horizontal="center" vertical="center" wrapText="1"/>
    </xf>
    <xf numFmtId="166" fontId="4" fillId="8" borderId="1" xfId="0" applyNumberFormat="1" applyFont="1" applyFill="1" applyBorder="1" applyAlignment="1">
      <alignment horizontal="center"/>
    </xf>
    <xf numFmtId="2" fontId="4" fillId="4" borderId="1" xfId="0" applyNumberFormat="1" applyFont="1" applyFill="1" applyBorder="1" applyAlignment="1">
      <alignment horizontal="center"/>
    </xf>
    <xf numFmtId="2" fontId="22" fillId="0" borderId="0" xfId="0" applyNumberFormat="1" applyFont="1" applyBorder="1" applyAlignment="1">
      <alignment horizontal="center"/>
    </xf>
    <xf numFmtId="2" fontId="4" fillId="0" borderId="0" xfId="0" applyNumberFormat="1" applyFont="1" applyBorder="1" applyAlignment="1">
      <alignment horizontal="center"/>
    </xf>
    <xf numFmtId="2" fontId="3" fillId="0" borderId="0" xfId="0" applyNumberFormat="1" applyFont="1" applyBorder="1" applyAlignment="1">
      <alignment horizontal="center"/>
    </xf>
    <xf numFmtId="0" fontId="3" fillId="0" borderId="0" xfId="0" applyFont="1" applyBorder="1" applyAlignment="1">
      <alignment horizontal="right" vertical="center"/>
    </xf>
    <xf numFmtId="0" fontId="3" fillId="0" borderId="0" xfId="0" applyFont="1" applyBorder="1" applyAlignment="1">
      <alignment horizontal="left" vertical="center"/>
    </xf>
    <xf numFmtId="0" fontId="13" fillId="6" borderId="1" xfId="0" applyFont="1" applyFill="1" applyBorder="1" applyAlignment="1">
      <alignment horizontal="center" vertical="center" wrapText="1"/>
    </xf>
    <xf numFmtId="0" fontId="7" fillId="0" borderId="0" xfId="0" applyFont="1" applyBorder="1"/>
    <xf numFmtId="0" fontId="3" fillId="0" borderId="0" xfId="0" applyFont="1" applyBorder="1" applyAlignment="1">
      <alignment horizontal="left" wrapText="1"/>
    </xf>
    <xf numFmtId="0" fontId="10" fillId="0" borderId="0" xfId="0" applyFont="1" applyBorder="1" applyAlignment="1">
      <alignment vertical="center"/>
    </xf>
    <xf numFmtId="0" fontId="3" fillId="0" borderId="0" xfId="0" applyFont="1" applyBorder="1" applyAlignment="1">
      <alignment horizontal="left" vertical="center" wrapText="1"/>
    </xf>
    <xf numFmtId="0" fontId="9" fillId="0" borderId="0" xfId="0" applyFont="1" applyBorder="1"/>
    <xf numFmtId="0" fontId="4" fillId="0" borderId="0" xfId="0" applyFont="1" applyBorder="1" applyAlignment="1">
      <alignment wrapText="1"/>
    </xf>
    <xf numFmtId="0" fontId="3" fillId="0" borderId="0" xfId="0" applyFont="1" applyBorder="1"/>
    <xf numFmtId="0" fontId="3" fillId="0" borderId="0" xfId="0" applyFont="1" applyBorder="1" applyAlignment="1">
      <alignment horizontal="center" vertical="center"/>
    </xf>
    <xf numFmtId="0" fontId="3" fillId="7" borderId="0" xfId="0" applyFont="1" applyFill="1" applyBorder="1"/>
    <xf numFmtId="0" fontId="16" fillId="0" borderId="0" xfId="0" applyFont="1" applyFill="1" applyBorder="1"/>
    <xf numFmtId="0" fontId="1" fillId="0" borderId="0" xfId="0" applyFont="1" applyBorder="1" applyAlignment="1">
      <alignment horizontal="left"/>
    </xf>
    <xf numFmtId="0" fontId="1" fillId="0" borderId="0" xfId="0" applyFont="1" applyBorder="1"/>
    <xf numFmtId="0" fontId="1" fillId="0" borderId="0" xfId="0" applyFont="1" applyFill="1" applyBorder="1"/>
    <xf numFmtId="0" fontId="1" fillId="0" borderId="0" xfId="0" applyFont="1" applyBorder="1" applyAlignment="1">
      <alignment horizontal="left" wrapText="1"/>
    </xf>
    <xf numFmtId="166" fontId="4" fillId="7" borderId="0" xfId="0" applyNumberFormat="1" applyFont="1" applyFill="1" applyBorder="1" applyAlignment="1">
      <alignment horizontal="center"/>
    </xf>
    <xf numFmtId="0" fontId="1" fillId="7" borderId="0" xfId="0" applyFont="1" applyFill="1" applyBorder="1"/>
    <xf numFmtId="0" fontId="4" fillId="0" borderId="0" xfId="0" applyFont="1" applyBorder="1" applyAlignment="1">
      <alignment horizontal="right"/>
    </xf>
    <xf numFmtId="0" fontId="23" fillId="10" borderId="0" xfId="0" applyFont="1" applyFill="1" applyBorder="1" applyAlignment="1"/>
    <xf numFmtId="0" fontId="13" fillId="0" borderId="0" xfId="0" applyFont="1" applyBorder="1" applyAlignment="1">
      <alignment horizontal="left" vertical="center" wrapText="1"/>
    </xf>
    <xf numFmtId="9" fontId="3" fillId="10" borderId="0" xfId="0" applyNumberFormat="1" applyFont="1" applyFill="1" applyBorder="1" applyAlignment="1">
      <alignment horizontal="left" vertical="center"/>
    </xf>
    <xf numFmtId="0" fontId="3" fillId="0" borderId="1" xfId="0" applyFont="1" applyBorder="1" applyAlignment="1">
      <alignment horizontal="center" vertical="center" wrapText="1"/>
    </xf>
    <xf numFmtId="0" fontId="3" fillId="0" borderId="3" xfId="0" applyFont="1" applyBorder="1" applyAlignment="1">
      <alignment horizontal="center" vertical="center" wrapText="1"/>
    </xf>
    <xf numFmtId="0" fontId="10" fillId="0" borderId="0" xfId="0" applyFont="1" applyBorder="1" applyAlignment="1"/>
    <xf numFmtId="0" fontId="4" fillId="0" borderId="0" xfId="0" applyFont="1" applyBorder="1"/>
    <xf numFmtId="0" fontId="4" fillId="0" borderId="0" xfId="0" applyFont="1" applyBorder="1" applyAlignment="1">
      <alignment horizontal="left"/>
    </xf>
    <xf numFmtId="0" fontId="4" fillId="0" borderId="1" xfId="0" applyFont="1" applyBorder="1" applyAlignment="1">
      <alignment horizontal="center" vertical="center"/>
    </xf>
    <xf numFmtId="0" fontId="1" fillId="0" borderId="0" xfId="0" applyFont="1" applyBorder="1" applyAlignment="1">
      <alignment horizontal="left" vertical="center"/>
    </xf>
    <xf numFmtId="0" fontId="1" fillId="0" borderId="0" xfId="0" applyFont="1" applyBorder="1" applyAlignment="1">
      <alignment vertical="center"/>
    </xf>
    <xf numFmtId="0" fontId="24" fillId="0" borderId="0" xfId="0" quotePrefix="1" applyFont="1" applyBorder="1" applyAlignment="1">
      <alignment horizontal="left"/>
    </xf>
    <xf numFmtId="0" fontId="24" fillId="0" borderId="0" xfId="0" applyFont="1" applyBorder="1" applyAlignment="1">
      <alignment horizontal="right"/>
    </xf>
    <xf numFmtId="0" fontId="25" fillId="0" borderId="0" xfId="0" applyFont="1" applyBorder="1"/>
    <xf numFmtId="0" fontId="4" fillId="7" borderId="0" xfId="0" applyFont="1" applyFill="1" applyBorder="1" applyAlignment="1" applyProtection="1">
      <alignment horizontal="left"/>
      <protection locked="0"/>
    </xf>
    <xf numFmtId="0" fontId="4" fillId="0" borderId="0" xfId="0" applyFont="1" applyBorder="1" applyAlignment="1" applyProtection="1">
      <alignment horizontal="left"/>
      <protection locked="0"/>
    </xf>
    <xf numFmtId="0" fontId="0" fillId="0" borderId="0" xfId="0" applyProtection="1">
      <protection locked="0"/>
    </xf>
    <xf numFmtId="2" fontId="3" fillId="7" borderId="0" xfId="0" applyNumberFormat="1" applyFont="1" applyFill="1" applyBorder="1" applyAlignment="1" applyProtection="1">
      <alignment horizontal="left"/>
      <protection locked="0"/>
    </xf>
    <xf numFmtId="9" fontId="3" fillId="7" borderId="0" xfId="0" applyNumberFormat="1" applyFont="1" applyFill="1" applyBorder="1" applyAlignment="1" applyProtection="1">
      <alignment horizontal="left" vertical="center"/>
      <protection locked="0"/>
    </xf>
    <xf numFmtId="0" fontId="1" fillId="7" borderId="0" xfId="0" applyFont="1" applyFill="1" applyBorder="1" applyAlignment="1" applyProtection="1">
      <alignment horizontal="left" vertical="center"/>
      <protection locked="0"/>
    </xf>
    <xf numFmtId="0" fontId="1" fillId="7" borderId="0" xfId="0" applyFont="1" applyFill="1" applyBorder="1" applyAlignment="1" applyProtection="1">
      <alignment vertical="center"/>
      <protection locked="0"/>
    </xf>
    <xf numFmtId="0" fontId="4" fillId="7" borderId="0" xfId="0" applyFont="1" applyFill="1" applyBorder="1" applyProtection="1">
      <protection locked="0"/>
    </xf>
    <xf numFmtId="1" fontId="0" fillId="0" borderId="1" xfId="0" applyNumberFormat="1" applyBorder="1" applyAlignment="1" applyProtection="1">
      <alignment horizontal="center"/>
      <protection locked="0"/>
    </xf>
    <xf numFmtId="0" fontId="0" fillId="7" borderId="1" xfId="0" applyFill="1" applyBorder="1" applyAlignment="1" applyProtection="1">
      <alignment horizontal="center"/>
      <protection locked="0"/>
    </xf>
    <xf numFmtId="2" fontId="0" fillId="0" borderId="0" xfId="0" applyNumberFormat="1" applyProtection="1">
      <protection locked="0"/>
    </xf>
    <xf numFmtId="0" fontId="1" fillId="0" borderId="0" xfId="0" applyFont="1" applyProtection="1"/>
    <xf numFmtId="2" fontId="0" fillId="0" borderId="0" xfId="0" applyNumberFormat="1" applyProtection="1"/>
    <xf numFmtId="0" fontId="0" fillId="0" borderId="0" xfId="0" applyProtection="1"/>
    <xf numFmtId="0" fontId="3" fillId="0" borderId="0" xfId="0" applyFont="1" applyProtection="1"/>
    <xf numFmtId="2" fontId="3" fillId="0" borderId="0" xfId="0" applyNumberFormat="1" applyFont="1" applyProtection="1"/>
    <xf numFmtId="0" fontId="3" fillId="7" borderId="1" xfId="0" applyFont="1" applyFill="1" applyBorder="1" applyAlignment="1" applyProtection="1">
      <alignment horizontal="center" vertical="center" wrapText="1"/>
    </xf>
    <xf numFmtId="2" fontId="3" fillId="7" borderId="1" xfId="0" applyNumberFormat="1" applyFont="1" applyFill="1" applyBorder="1" applyAlignment="1" applyProtection="1">
      <alignment horizontal="center" vertical="center" wrapText="1"/>
    </xf>
    <xf numFmtId="0" fontId="3" fillId="9" borderId="1" xfId="0" applyFont="1" applyFill="1" applyBorder="1" applyAlignment="1" applyProtection="1">
      <alignment horizontal="left" vertical="center"/>
    </xf>
    <xf numFmtId="2" fontId="3" fillId="9" borderId="1" xfId="0" applyNumberFormat="1" applyFont="1" applyFill="1" applyBorder="1" applyAlignment="1" applyProtection="1">
      <alignment horizontal="center" vertical="center" wrapText="1"/>
    </xf>
    <xf numFmtId="0" fontId="10" fillId="0" borderId="0" xfId="0" applyFont="1" applyProtection="1">
      <protection locked="0"/>
    </xf>
    <xf numFmtId="0" fontId="10" fillId="0" borderId="0" xfId="0" applyFont="1" applyAlignment="1" applyProtection="1">
      <alignment horizontal="left"/>
      <protection locked="0"/>
    </xf>
    <xf numFmtId="0" fontId="4" fillId="7" borderId="0" xfId="0" applyFont="1" applyFill="1" applyBorder="1" applyAlignment="1" applyProtection="1">
      <alignment horizontal="left"/>
    </xf>
    <xf numFmtId="0" fontId="1" fillId="7" borderId="0" xfId="0" applyFont="1" applyFill="1" applyBorder="1" applyAlignment="1" applyProtection="1">
      <alignment horizontal="left"/>
    </xf>
    <xf numFmtId="0" fontId="1" fillId="7" borderId="0" xfId="0" applyFont="1" applyFill="1" applyBorder="1" applyAlignment="1" applyProtection="1">
      <alignment horizontal="left" wrapText="1"/>
    </xf>
    <xf numFmtId="0" fontId="1" fillId="10" borderId="0" xfId="0" applyFont="1" applyFill="1" applyBorder="1" applyAlignment="1" applyProtection="1">
      <alignment vertical="center"/>
    </xf>
    <xf numFmtId="1" fontId="4" fillId="10" borderId="0" xfId="0" applyNumberFormat="1" applyFont="1" applyFill="1" applyBorder="1" applyProtection="1"/>
    <xf numFmtId="0" fontId="28" fillId="11" borderId="0" xfId="0" applyFont="1" applyFill="1" applyBorder="1"/>
    <xf numFmtId="0" fontId="28" fillId="0" borderId="0" xfId="0" applyFont="1"/>
    <xf numFmtId="0" fontId="28" fillId="11" borderId="0" xfId="0" applyFont="1" applyFill="1"/>
    <xf numFmtId="0" fontId="28" fillId="10" borderId="0" xfId="0" applyFont="1" applyFill="1"/>
    <xf numFmtId="0" fontId="3" fillId="0" borderId="1" xfId="0" applyFont="1" applyBorder="1" applyAlignment="1">
      <alignment horizontal="center" vertical="center"/>
    </xf>
    <xf numFmtId="0" fontId="3" fillId="0" borderId="1" xfId="0" applyFont="1" applyBorder="1"/>
    <xf numFmtId="0" fontId="1" fillId="0" borderId="0" xfId="0" applyFont="1"/>
    <xf numFmtId="0" fontId="1" fillId="0" borderId="1" xfId="0" applyFont="1" applyBorder="1" applyAlignment="1">
      <alignment horizontal="center" vertical="center"/>
    </xf>
    <xf numFmtId="1" fontId="1" fillId="0" borderId="1" xfId="0" applyNumberFormat="1" applyFont="1" applyBorder="1" applyAlignment="1">
      <alignment horizontal="center" vertical="center"/>
    </xf>
    <xf numFmtId="166" fontId="1" fillId="0" borderId="1" xfId="0" applyNumberFormat="1" applyFont="1" applyBorder="1" applyAlignment="1">
      <alignment horizontal="center"/>
    </xf>
    <xf numFmtId="0" fontId="0" fillId="10" borderId="0" xfId="0" applyFill="1"/>
    <xf numFmtId="1" fontId="0" fillId="0" borderId="1" xfId="0" applyNumberFormat="1" applyBorder="1" applyAlignment="1">
      <alignment horizontal="center"/>
    </xf>
    <xf numFmtId="1" fontId="0" fillId="10" borderId="1" xfId="0" applyNumberFormat="1" applyFill="1" applyBorder="1" applyAlignment="1">
      <alignment horizontal="center"/>
    </xf>
    <xf numFmtId="0" fontId="3" fillId="7" borderId="0" xfId="0" applyFont="1" applyFill="1" applyBorder="1" applyAlignment="1" applyProtection="1">
      <alignment horizontal="left"/>
      <protection locked="0"/>
    </xf>
    <xf numFmtId="167" fontId="3" fillId="7" borderId="0" xfId="0" applyNumberFormat="1" applyFont="1" applyFill="1" applyBorder="1" applyAlignment="1" applyProtection="1">
      <alignment horizontal="left"/>
      <protection locked="0"/>
    </xf>
    <xf numFmtId="0" fontId="3" fillId="7" borderId="0" xfId="0" applyFont="1" applyFill="1" applyBorder="1" applyAlignment="1" applyProtection="1">
      <alignment horizontal="left" wrapText="1"/>
      <protection locked="0"/>
    </xf>
    <xf numFmtId="0" fontId="14" fillId="0" borderId="0" xfId="0" applyFont="1" applyBorder="1" applyAlignment="1" applyProtection="1">
      <alignment horizontal="left" vertical="center"/>
      <protection locked="0"/>
    </xf>
    <xf numFmtId="0" fontId="4" fillId="0" borderId="0" xfId="0" applyFont="1" applyBorder="1" applyProtection="1">
      <protection locked="0"/>
    </xf>
    <xf numFmtId="0" fontId="3" fillId="0" borderId="0" xfId="0" applyFont="1" applyBorder="1" applyAlignment="1" applyProtection="1">
      <alignment horizontal="center"/>
      <protection locked="0"/>
    </xf>
    <xf numFmtId="0" fontId="3" fillId="0" borderId="0" xfId="0" applyFont="1" applyBorder="1" applyAlignment="1" applyProtection="1">
      <alignment horizontal="right"/>
      <protection locked="0"/>
    </xf>
    <xf numFmtId="0" fontId="3" fillId="0" borderId="0" xfId="0" applyFont="1" applyBorder="1" applyAlignment="1" applyProtection="1">
      <alignment horizontal="left"/>
      <protection locked="0"/>
    </xf>
    <xf numFmtId="0" fontId="4" fillId="0" borderId="0" xfId="0" applyFont="1" applyBorder="1" applyAlignment="1" applyProtection="1">
      <alignment horizontal="left" vertical="center"/>
      <protection locked="0"/>
    </xf>
    <xf numFmtId="164" fontId="4" fillId="0" borderId="0" xfId="0" applyNumberFormat="1" applyFont="1" applyBorder="1" applyAlignment="1" applyProtection="1">
      <alignment horizontal="left"/>
      <protection locked="0"/>
    </xf>
    <xf numFmtId="0" fontId="4" fillId="0" borderId="0" xfId="0" applyFont="1" applyBorder="1" applyAlignment="1" applyProtection="1">
      <alignment vertical="center" wrapText="1"/>
      <protection locked="0"/>
    </xf>
    <xf numFmtId="0" fontId="4" fillId="0" borderId="0" xfId="0" applyFont="1" applyBorder="1" applyAlignment="1" applyProtection="1">
      <alignment vertical="center"/>
      <protection locked="0"/>
    </xf>
    <xf numFmtId="1" fontId="3" fillId="0" borderId="0" xfId="0" applyNumberFormat="1" applyFont="1" applyBorder="1" applyAlignment="1" applyProtection="1">
      <alignment horizontal="right" vertical="center"/>
      <protection locked="0"/>
    </xf>
    <xf numFmtId="1" fontId="3" fillId="0" borderId="0" xfId="0" applyNumberFormat="1" applyFont="1" applyBorder="1" applyAlignment="1" applyProtection="1">
      <alignment vertical="center"/>
      <protection locked="0"/>
    </xf>
    <xf numFmtId="0" fontId="3" fillId="0" borderId="0" xfId="0" applyFont="1" applyFill="1" applyBorder="1" applyAlignment="1" applyProtection="1">
      <alignment horizontal="left" vertical="center"/>
      <protection locked="0"/>
    </xf>
    <xf numFmtId="0" fontId="1" fillId="0" borderId="0" xfId="0" applyFont="1" applyBorder="1" applyAlignment="1" applyProtection="1">
      <alignment horizontal="left" vertical="center"/>
      <protection locked="0"/>
    </xf>
    <xf numFmtId="0" fontId="3" fillId="10" borderId="0" xfId="0" applyFont="1" applyFill="1" applyBorder="1" applyAlignment="1" applyProtection="1">
      <alignment horizontal="left" vertical="center"/>
      <protection locked="0"/>
    </xf>
    <xf numFmtId="0" fontId="1" fillId="10" borderId="0" xfId="0" applyFont="1" applyFill="1" applyBorder="1" applyAlignment="1" applyProtection="1">
      <alignment horizontal="left" vertical="center"/>
      <protection locked="0"/>
    </xf>
    <xf numFmtId="0" fontId="3" fillId="10" borderId="0" xfId="0" applyFont="1" applyFill="1" applyBorder="1" applyAlignment="1" applyProtection="1">
      <alignment horizontal="right" vertical="center" wrapText="1"/>
      <protection locked="0"/>
    </xf>
    <xf numFmtId="1" fontId="3" fillId="10" borderId="0" xfId="0" applyNumberFormat="1" applyFont="1" applyFill="1" applyBorder="1" applyAlignment="1" applyProtection="1">
      <alignment horizontal="left" vertical="center"/>
      <protection locked="0"/>
    </xf>
    <xf numFmtId="0" fontId="9" fillId="7" borderId="0" xfId="1" applyFont="1" applyFill="1" applyAlignment="1">
      <alignment horizontal="right"/>
    </xf>
    <xf numFmtId="0" fontId="9" fillId="7" borderId="0" xfId="1" applyNumberFormat="1" applyFont="1" applyFill="1" applyAlignment="1">
      <alignment horizontal="left"/>
    </xf>
    <xf numFmtId="0" fontId="1" fillId="0" borderId="0" xfId="1"/>
    <xf numFmtId="0" fontId="1" fillId="0" borderId="0" xfId="1" applyAlignment="1">
      <alignment horizontal="center"/>
    </xf>
    <xf numFmtId="0" fontId="1" fillId="10" borderId="0" xfId="0" applyFont="1" applyFill="1"/>
    <xf numFmtId="0" fontId="3" fillId="10" borderId="0" xfId="0" applyFont="1" applyFill="1" applyBorder="1" applyAlignment="1" applyProtection="1">
      <alignment vertical="center"/>
      <protection locked="0"/>
    </xf>
    <xf numFmtId="0" fontId="1" fillId="10" borderId="0" xfId="0" applyFont="1" applyFill="1" applyBorder="1" applyAlignment="1" applyProtection="1">
      <alignment vertical="center"/>
      <protection locked="0"/>
    </xf>
    <xf numFmtId="0" fontId="4" fillId="10" borderId="0" xfId="0" applyFont="1" applyFill="1" applyBorder="1" applyProtection="1">
      <protection locked="0"/>
    </xf>
    <xf numFmtId="165" fontId="1" fillId="0" borderId="1" xfId="0" applyNumberFormat="1" applyFont="1" applyBorder="1" applyAlignment="1">
      <alignment horizontal="center"/>
    </xf>
    <xf numFmtId="2" fontId="1" fillId="0" borderId="1" xfId="0" applyNumberFormat="1" applyFont="1" applyBorder="1" applyAlignment="1">
      <alignment horizontal="center"/>
    </xf>
    <xf numFmtId="164" fontId="8" fillId="9" borderId="1" xfId="0" applyNumberFormat="1" applyFont="1" applyFill="1" applyBorder="1" applyAlignment="1">
      <alignment horizontal="center" vertical="center" wrapText="1"/>
    </xf>
    <xf numFmtId="0" fontId="3" fillId="0" borderId="0" xfId="0" applyFont="1" applyBorder="1" applyAlignment="1">
      <alignment horizontal="right"/>
    </xf>
    <xf numFmtId="0" fontId="24" fillId="0" borderId="0" xfId="0" applyFont="1" applyBorder="1"/>
    <xf numFmtId="1" fontId="0" fillId="7" borderId="1" xfId="0" applyNumberFormat="1" applyFill="1" applyBorder="1" applyAlignment="1" applyProtection="1">
      <alignment horizontal="center"/>
      <protection locked="0"/>
    </xf>
    <xf numFmtId="1" fontId="0" fillId="0" borderId="0" xfId="0" applyNumberFormat="1" applyProtection="1">
      <protection locked="0"/>
    </xf>
    <xf numFmtId="0" fontId="28" fillId="0" borderId="0" xfId="0" applyFont="1" applyBorder="1" applyAlignment="1">
      <alignment horizontal="left"/>
    </xf>
    <xf numFmtId="0" fontId="1" fillId="0" borderId="1" xfId="0" applyFont="1" applyBorder="1" applyAlignment="1">
      <alignment horizontal="center"/>
    </xf>
    <xf numFmtId="0" fontId="1" fillId="0" borderId="0" xfId="0" applyFont="1" applyBorder="1" applyAlignment="1">
      <alignment horizontal="center"/>
    </xf>
    <xf numFmtId="2" fontId="20" fillId="0" borderId="0" xfId="0" applyNumberFormat="1" applyFont="1" applyBorder="1" applyAlignment="1">
      <alignment horizontal="center"/>
    </xf>
    <xf numFmtId="166" fontId="1" fillId="0" borderId="0" xfId="0" applyNumberFormat="1" applyFont="1" applyBorder="1" applyAlignment="1">
      <alignment horizontal="center"/>
    </xf>
    <xf numFmtId="2" fontId="1" fillId="0" borderId="0" xfId="0" applyNumberFormat="1" applyFont="1" applyBorder="1" applyAlignment="1">
      <alignment horizontal="center"/>
    </xf>
    <xf numFmtId="0" fontId="1" fillId="0" borderId="1" xfId="0" applyFont="1" applyBorder="1"/>
    <xf numFmtId="2" fontId="1" fillId="0" borderId="1" xfId="0" applyNumberFormat="1" applyFont="1" applyFill="1" applyBorder="1" applyAlignment="1">
      <alignment horizontal="center"/>
    </xf>
    <xf numFmtId="0" fontId="3" fillId="0" borderId="1" xfId="0" applyFont="1" applyBorder="1" applyAlignment="1">
      <alignment vertical="center"/>
    </xf>
    <xf numFmtId="0" fontId="3" fillId="0" borderId="0" xfId="0" applyFont="1" applyBorder="1" applyAlignment="1">
      <alignment horizontal="left" vertical="top"/>
    </xf>
    <xf numFmtId="0" fontId="3" fillId="0" borderId="0" xfId="0" applyFont="1" applyFill="1" applyBorder="1" applyAlignment="1">
      <alignment vertical="center"/>
    </xf>
    <xf numFmtId="0" fontId="3" fillId="0" borderId="0" xfId="0" applyFont="1" applyFill="1" applyBorder="1" applyAlignment="1">
      <alignment horizontal="center" vertical="center"/>
    </xf>
    <xf numFmtId="164" fontId="4" fillId="0" borderId="0" xfId="0" applyNumberFormat="1" applyFont="1" applyBorder="1" applyAlignment="1">
      <alignment horizontal="center" vertical="center"/>
    </xf>
    <xf numFmtId="2" fontId="4" fillId="3" borderId="1" xfId="0" applyNumberFormat="1" applyFont="1" applyFill="1" applyBorder="1" applyAlignment="1">
      <alignment horizontal="center"/>
    </xf>
    <xf numFmtId="0" fontId="1" fillId="0" borderId="4" xfId="0" applyFont="1" applyBorder="1" applyAlignment="1">
      <alignment horizontal="center"/>
    </xf>
    <xf numFmtId="165" fontId="1" fillId="0" borderId="4" xfId="0" applyNumberFormat="1" applyFont="1" applyBorder="1" applyAlignment="1">
      <alignment horizontal="center"/>
    </xf>
    <xf numFmtId="2" fontId="1" fillId="0" borderId="4" xfId="0" applyNumberFormat="1" applyFont="1" applyBorder="1" applyAlignment="1">
      <alignment horizontal="center"/>
    </xf>
    <xf numFmtId="0" fontId="1" fillId="0" borderId="5" xfId="0" applyFont="1" applyBorder="1" applyAlignment="1">
      <alignment horizontal="center"/>
    </xf>
    <xf numFmtId="165" fontId="1" fillId="0" borderId="5" xfId="0" applyNumberFormat="1" applyFont="1" applyBorder="1" applyAlignment="1">
      <alignment horizontal="center"/>
    </xf>
    <xf numFmtId="2" fontId="1" fillId="0" borderId="5" xfId="0" applyNumberFormat="1" applyFont="1" applyBorder="1" applyAlignment="1">
      <alignment horizontal="center"/>
    </xf>
    <xf numFmtId="2" fontId="1" fillId="8" borderId="4" xfId="0" applyNumberFormat="1" applyFont="1" applyFill="1" applyBorder="1" applyAlignment="1">
      <alignment horizontal="center"/>
    </xf>
    <xf numFmtId="2" fontId="1" fillId="8" borderId="1" xfId="0" applyNumberFormat="1" applyFont="1" applyFill="1" applyBorder="1" applyAlignment="1">
      <alignment horizontal="center"/>
    </xf>
    <xf numFmtId="2" fontId="4" fillId="2" borderId="1" xfId="0" applyNumberFormat="1" applyFont="1" applyFill="1" applyBorder="1" applyAlignment="1">
      <alignment horizontal="center" vertical="center"/>
    </xf>
    <xf numFmtId="2" fontId="4" fillId="5" borderId="1" xfId="0" applyNumberFormat="1" applyFont="1" applyFill="1" applyBorder="1" applyAlignment="1">
      <alignment horizontal="center" vertical="center"/>
    </xf>
    <xf numFmtId="2" fontId="1" fillId="9" borderId="1" xfId="0" applyNumberFormat="1" applyFont="1" applyFill="1" applyBorder="1" applyAlignment="1">
      <alignment horizontal="center"/>
    </xf>
    <xf numFmtId="0" fontId="13" fillId="12" borderId="1" xfId="0" applyFont="1" applyFill="1" applyBorder="1" applyAlignment="1">
      <alignment horizontal="center" vertical="center" wrapText="1"/>
    </xf>
    <xf numFmtId="164" fontId="13" fillId="12" borderId="1" xfId="0" applyNumberFormat="1" applyFont="1" applyFill="1" applyBorder="1" applyAlignment="1">
      <alignment horizontal="center" vertical="center" wrapText="1"/>
    </xf>
    <xf numFmtId="0" fontId="3" fillId="12" borderId="1" xfId="0" applyFont="1" applyFill="1" applyBorder="1" applyAlignment="1">
      <alignment horizontal="center" vertical="center"/>
    </xf>
    <xf numFmtId="0" fontId="4" fillId="12" borderId="1" xfId="0" applyFont="1" applyFill="1" applyBorder="1" applyAlignment="1">
      <alignment horizontal="center" vertical="center"/>
    </xf>
    <xf numFmtId="1" fontId="4" fillId="12" borderId="1" xfId="0" applyNumberFormat="1" applyFont="1" applyFill="1" applyBorder="1" applyAlignment="1">
      <alignment horizontal="center" vertical="center"/>
    </xf>
    <xf numFmtId="166" fontId="4" fillId="12" borderId="1" xfId="0" applyNumberFormat="1" applyFont="1" applyFill="1" applyBorder="1" applyAlignment="1">
      <alignment horizontal="center"/>
    </xf>
    <xf numFmtId="1" fontId="1" fillId="0" borderId="0" xfId="0" applyNumberFormat="1" applyFont="1" applyBorder="1" applyAlignment="1">
      <alignment horizontal="center" vertical="center"/>
    </xf>
    <xf numFmtId="166" fontId="4" fillId="0" borderId="1" xfId="0" applyNumberFormat="1" applyFont="1" applyFill="1" applyBorder="1" applyAlignment="1">
      <alignment horizontal="center"/>
    </xf>
    <xf numFmtId="166" fontId="1" fillId="9" borderId="1" xfId="0" applyNumberFormat="1" applyFont="1" applyFill="1" applyBorder="1" applyAlignment="1">
      <alignment horizontal="center"/>
    </xf>
    <xf numFmtId="166" fontId="1" fillId="8" borderId="1" xfId="0" applyNumberFormat="1" applyFont="1" applyFill="1" applyBorder="1" applyAlignment="1">
      <alignment horizontal="center"/>
    </xf>
    <xf numFmtId="166" fontId="4" fillId="10" borderId="1" xfId="0" applyNumberFormat="1" applyFont="1" applyFill="1" applyBorder="1" applyAlignment="1">
      <alignment horizontal="center"/>
    </xf>
    <xf numFmtId="165" fontId="4" fillId="0" borderId="0" xfId="0" applyNumberFormat="1" applyFont="1" applyBorder="1" applyAlignment="1">
      <alignment horizontal="center"/>
    </xf>
    <xf numFmtId="166" fontId="1" fillId="0" borderId="0" xfId="0" applyNumberFormat="1" applyFont="1" applyBorder="1" applyAlignment="1">
      <alignment horizontal="center" vertical="center"/>
    </xf>
    <xf numFmtId="2" fontId="1" fillId="0" borderId="0" xfId="0" applyNumberFormat="1" applyFont="1" applyBorder="1" applyAlignment="1">
      <alignment horizontal="center" vertical="center"/>
    </xf>
    <xf numFmtId="166" fontId="4" fillId="10" borderId="1" xfId="0" applyNumberFormat="1" applyFont="1" applyFill="1" applyBorder="1" applyAlignment="1">
      <alignment horizontal="center" vertical="center"/>
    </xf>
    <xf numFmtId="0" fontId="3" fillId="0" borderId="6" xfId="0" applyFont="1" applyBorder="1" applyAlignment="1">
      <alignment horizontal="center"/>
    </xf>
    <xf numFmtId="0" fontId="3" fillId="0" borderId="7" xfId="0" applyFont="1" applyBorder="1" applyAlignment="1">
      <alignment horizontal="center"/>
    </xf>
    <xf numFmtId="0" fontId="4" fillId="0" borderId="6" xfId="0" applyFont="1" applyBorder="1" applyAlignment="1">
      <alignment horizontal="center"/>
    </xf>
    <xf numFmtId="2" fontId="4" fillId="0" borderId="7" xfId="0" applyNumberFormat="1" applyFont="1" applyBorder="1" applyAlignment="1">
      <alignment horizontal="center"/>
    </xf>
    <xf numFmtId="166" fontId="4" fillId="0" borderId="6" xfId="0" applyNumberFormat="1" applyFont="1" applyBorder="1" applyAlignment="1">
      <alignment horizontal="center"/>
    </xf>
    <xf numFmtId="166" fontId="4" fillId="0" borderId="8" xfId="0" applyNumberFormat="1" applyFont="1" applyBorder="1" applyAlignment="1">
      <alignment horizontal="center"/>
    </xf>
    <xf numFmtId="2" fontId="4" fillId="0" borderId="9" xfId="0" applyNumberFormat="1" applyFont="1" applyBorder="1" applyAlignment="1">
      <alignment horizontal="center"/>
    </xf>
    <xf numFmtId="0" fontId="26" fillId="10" borderId="0" xfId="0" applyFont="1" applyFill="1"/>
    <xf numFmtId="0" fontId="26" fillId="0" borderId="0" xfId="0" applyFont="1"/>
    <xf numFmtId="0" fontId="26" fillId="0" borderId="0" xfId="0" applyFont="1" applyAlignment="1">
      <alignment horizontal="center"/>
    </xf>
    <xf numFmtId="0" fontId="27" fillId="0" borderId="0" xfId="0" applyFont="1" applyBorder="1" applyAlignment="1">
      <alignment horizontal="center" vertical="center" wrapText="1"/>
    </xf>
    <xf numFmtId="0" fontId="26" fillId="0" borderId="0" xfId="0" applyFont="1" applyBorder="1" applyAlignment="1">
      <alignment horizontal="center"/>
    </xf>
    <xf numFmtId="0" fontId="3" fillId="12" borderId="1" xfId="0" applyFont="1" applyFill="1" applyBorder="1" applyAlignment="1">
      <alignment horizontal="center" vertical="center" wrapText="1"/>
    </xf>
    <xf numFmtId="165" fontId="3" fillId="12" borderId="1" xfId="0" applyNumberFormat="1" applyFont="1" applyFill="1" applyBorder="1" applyAlignment="1">
      <alignment horizontal="center" vertical="center" wrapText="1"/>
    </xf>
    <xf numFmtId="165" fontId="4" fillId="12" borderId="1" xfId="0" applyNumberFormat="1" applyFont="1" applyFill="1" applyBorder="1" applyAlignment="1">
      <alignment horizontal="center"/>
    </xf>
    <xf numFmtId="164" fontId="8" fillId="12" borderId="1" xfId="0" applyNumberFormat="1" applyFont="1" applyFill="1" applyBorder="1" applyAlignment="1">
      <alignment horizontal="center" vertical="center" wrapText="1"/>
    </xf>
    <xf numFmtId="2" fontId="4" fillId="12" borderId="1" xfId="0" applyNumberFormat="1" applyFont="1" applyFill="1" applyBorder="1" applyAlignment="1">
      <alignment horizontal="center"/>
    </xf>
    <xf numFmtId="166" fontId="1" fillId="12" borderId="1" xfId="0" applyNumberFormat="1" applyFont="1" applyFill="1" applyBorder="1" applyAlignment="1">
      <alignment horizontal="center" vertical="center"/>
    </xf>
    <xf numFmtId="2" fontId="1" fillId="12" borderId="1" xfId="0" applyNumberFormat="1" applyFont="1" applyFill="1" applyBorder="1" applyAlignment="1">
      <alignment horizontal="center" vertical="center"/>
    </xf>
    <xf numFmtId="0" fontId="19" fillId="0" borderId="0" xfId="0" applyFont="1" applyBorder="1" applyAlignment="1" applyProtection="1">
      <alignment horizontal="left" vertical="center"/>
      <protection locked="0"/>
    </xf>
    <xf numFmtId="0" fontId="3" fillId="6" borderId="6" xfId="0" applyFont="1" applyFill="1" applyBorder="1" applyAlignment="1">
      <alignment horizontal="center"/>
    </xf>
    <xf numFmtId="0" fontId="3" fillId="6" borderId="7" xfId="0" applyFont="1" applyFill="1" applyBorder="1" applyAlignment="1">
      <alignment horizontal="center"/>
    </xf>
    <xf numFmtId="0" fontId="4" fillId="6" borderId="6" xfId="0" applyFont="1" applyFill="1" applyBorder="1" applyAlignment="1">
      <alignment horizontal="center"/>
    </xf>
    <xf numFmtId="2" fontId="4" fillId="6" borderId="7" xfId="0" applyNumberFormat="1" applyFont="1" applyFill="1" applyBorder="1" applyAlignment="1">
      <alignment horizontal="center"/>
    </xf>
    <xf numFmtId="2" fontId="4" fillId="6" borderId="9" xfId="0" applyNumberFormat="1" applyFont="1" applyFill="1" applyBorder="1" applyAlignment="1">
      <alignment horizontal="center"/>
    </xf>
    <xf numFmtId="0" fontId="3" fillId="0" borderId="0" xfId="0" applyFont="1" applyBorder="1" applyProtection="1">
      <protection locked="0"/>
    </xf>
    <xf numFmtId="0" fontId="26" fillId="10" borderId="0" xfId="0" applyFont="1" applyFill="1" applyAlignment="1">
      <alignment horizontal="left"/>
    </xf>
    <xf numFmtId="0" fontId="26" fillId="10" borderId="0" xfId="0" applyFont="1" applyFill="1" applyAlignment="1">
      <alignment horizontal="center"/>
    </xf>
    <xf numFmtId="0" fontId="21" fillId="0" borderId="0" xfId="0" applyFont="1" applyBorder="1" applyAlignment="1">
      <alignment vertical="center"/>
    </xf>
    <xf numFmtId="14" fontId="1" fillId="0" borderId="0" xfId="0" applyNumberFormat="1" applyFont="1" applyBorder="1"/>
    <xf numFmtId="0" fontId="4" fillId="0" borderId="6" xfId="0" applyFont="1" applyBorder="1" applyAlignment="1"/>
    <xf numFmtId="0" fontId="4" fillId="0" borderId="1" xfId="0" applyFont="1" applyBorder="1" applyAlignment="1"/>
    <xf numFmtId="0" fontId="4" fillId="0" borderId="7" xfId="0" applyFont="1" applyBorder="1" applyAlignment="1"/>
    <xf numFmtId="2" fontId="4" fillId="7" borderId="1" xfId="0" applyNumberFormat="1" applyFont="1" applyFill="1" applyBorder="1" applyAlignment="1">
      <alignment horizontal="center"/>
    </xf>
    <xf numFmtId="0" fontId="4" fillId="6" borderId="8" xfId="0" applyFont="1" applyFill="1" applyBorder="1" applyAlignment="1">
      <alignment horizontal="center"/>
    </xf>
    <xf numFmtId="0" fontId="14" fillId="0" borderId="0" xfId="0" applyFont="1" applyBorder="1" applyAlignment="1" applyProtection="1">
      <alignment horizontal="left" vertical="center"/>
    </xf>
    <xf numFmtId="0" fontId="19" fillId="0" borderId="0" xfId="0" applyFont="1" applyBorder="1" applyAlignment="1" applyProtection="1">
      <alignment horizontal="left" vertical="center"/>
    </xf>
    <xf numFmtId="0" fontId="5" fillId="0" borderId="0" xfId="0" applyFont="1" applyBorder="1" applyAlignment="1" applyProtection="1">
      <alignment horizontal="right" vertical="center"/>
    </xf>
    <xf numFmtId="2" fontId="5" fillId="0" borderId="0" xfId="0" applyNumberFormat="1" applyFont="1" applyBorder="1" applyAlignment="1" applyProtection="1">
      <alignment horizontal="center" vertical="center"/>
    </xf>
    <xf numFmtId="0" fontId="3" fillId="0" borderId="0" xfId="0" applyFont="1" applyBorder="1" applyAlignment="1">
      <alignment horizontal="left"/>
    </xf>
    <xf numFmtId="0" fontId="1" fillId="14" borderId="1" xfId="0" applyFont="1" applyFill="1" applyBorder="1" applyAlignment="1">
      <alignment horizontal="center" vertical="center" wrapText="1"/>
    </xf>
    <xf numFmtId="9" fontId="1" fillId="14" borderId="1" xfId="2" applyNumberFormat="1" applyFont="1" applyFill="1" applyBorder="1" applyAlignment="1">
      <alignment horizontal="center"/>
    </xf>
    <xf numFmtId="1" fontId="0" fillId="14" borderId="0" xfId="0" applyNumberFormat="1" applyFill="1"/>
    <xf numFmtId="0" fontId="30" fillId="0" borderId="0" xfId="0" applyFont="1" applyBorder="1"/>
    <xf numFmtId="0" fontId="1" fillId="10" borderId="0" xfId="0" applyFont="1" applyFill="1" applyBorder="1"/>
    <xf numFmtId="0" fontId="31" fillId="10" borderId="0" xfId="0" applyFont="1" applyFill="1"/>
    <xf numFmtId="0" fontId="32" fillId="10" borderId="0" xfId="0" applyFont="1" applyFill="1"/>
    <xf numFmtId="2" fontId="31" fillId="10" borderId="0" xfId="0" applyNumberFormat="1" applyFont="1" applyFill="1"/>
    <xf numFmtId="0" fontId="32" fillId="10" borderId="0" xfId="0" applyFont="1" applyFill="1" applyAlignment="1">
      <alignment horizontal="center" vertical="center"/>
    </xf>
    <xf numFmtId="0" fontId="32" fillId="10" borderId="0" xfId="0" applyFont="1" applyFill="1" applyAlignment="1">
      <alignment horizontal="left" vertical="center"/>
    </xf>
    <xf numFmtId="0" fontId="31" fillId="10" borderId="0" xfId="0" applyFont="1" applyFill="1" applyAlignment="1">
      <alignment horizontal="center" vertical="center"/>
    </xf>
    <xf numFmtId="166" fontId="31" fillId="10" borderId="0" xfId="0" applyNumberFormat="1" applyFont="1" applyFill="1" applyAlignment="1">
      <alignment horizontal="center" vertical="center"/>
    </xf>
    <xf numFmtId="2" fontId="31" fillId="10" borderId="0" xfId="0" applyNumberFormat="1" applyFont="1" applyFill="1" applyAlignment="1">
      <alignment horizontal="center" vertical="center"/>
    </xf>
    <xf numFmtId="166" fontId="31" fillId="10" borderId="0" xfId="0" applyNumberFormat="1" applyFont="1" applyFill="1"/>
    <xf numFmtId="0" fontId="31" fillId="10" borderId="0" xfId="0" applyFont="1" applyFill="1" applyBorder="1"/>
    <xf numFmtId="166" fontId="32" fillId="10" borderId="0" xfId="0" applyNumberFormat="1" applyFont="1" applyFill="1" applyAlignment="1">
      <alignment horizontal="left" vertical="center"/>
    </xf>
    <xf numFmtId="2" fontId="0" fillId="0" borderId="1" xfId="0" applyNumberFormat="1" applyBorder="1" applyAlignment="1">
      <alignment horizontal="center"/>
    </xf>
    <xf numFmtId="1" fontId="6" fillId="7" borderId="1" xfId="0" applyNumberFormat="1" applyFont="1" applyFill="1" applyBorder="1" applyAlignment="1">
      <alignment horizontal="center"/>
    </xf>
    <xf numFmtId="2" fontId="0" fillId="15" borderId="1" xfId="0" applyNumberFormat="1" applyFill="1" applyBorder="1" applyAlignment="1">
      <alignment horizontal="center"/>
    </xf>
    <xf numFmtId="1" fontId="0" fillId="7" borderId="1" xfId="0" applyNumberFormat="1" applyFill="1" applyBorder="1" applyAlignment="1">
      <alignment horizontal="left"/>
    </xf>
    <xf numFmtId="0" fontId="0" fillId="7" borderId="1" xfId="0" applyFill="1" applyBorder="1" applyAlignment="1">
      <alignment horizontal="center"/>
    </xf>
    <xf numFmtId="0" fontId="14" fillId="16" borderId="0" xfId="0" applyFont="1" applyFill="1"/>
    <xf numFmtId="0" fontId="14" fillId="16" borderId="0" xfId="0" applyFont="1" applyFill="1" applyAlignment="1">
      <alignment horizontal="center"/>
    </xf>
    <xf numFmtId="0" fontId="0" fillId="16" borderId="0" xfId="0" applyFill="1" applyAlignment="1">
      <alignment horizontal="center"/>
    </xf>
    <xf numFmtId="1" fontId="1" fillId="14" borderId="0" xfId="1" applyNumberFormat="1" applyFill="1"/>
    <xf numFmtId="0" fontId="1" fillId="14" borderId="0" xfId="1" applyFill="1"/>
    <xf numFmtId="0" fontId="6" fillId="14" borderId="1" xfId="0" applyFont="1" applyFill="1" applyBorder="1" applyAlignment="1">
      <alignment horizontal="center" vertical="center" wrapText="1"/>
    </xf>
    <xf numFmtId="0" fontId="0" fillId="14" borderId="0" xfId="0" applyFill="1"/>
    <xf numFmtId="1" fontId="30" fillId="14" borderId="0" xfId="0" applyNumberFormat="1" applyFont="1" applyFill="1"/>
    <xf numFmtId="0" fontId="30" fillId="14" borderId="0" xfId="0" applyFont="1" applyFill="1"/>
    <xf numFmtId="1" fontId="1" fillId="14" borderId="1" xfId="1" applyNumberFormat="1" applyFont="1" applyFill="1" applyBorder="1" applyAlignment="1" applyProtection="1">
      <alignment horizontal="center"/>
      <protection locked="0"/>
    </xf>
    <xf numFmtId="1" fontId="1" fillId="14" borderId="1" xfId="1" applyNumberFormat="1" applyFont="1" applyFill="1" applyBorder="1" applyAlignment="1">
      <alignment horizontal="center"/>
    </xf>
    <xf numFmtId="165" fontId="1" fillId="14" borderId="1" xfId="1" applyNumberFormat="1" applyFont="1" applyFill="1" applyBorder="1" applyAlignment="1" applyProtection="1">
      <alignment horizontal="center"/>
      <protection locked="0"/>
    </xf>
    <xf numFmtId="165" fontId="1" fillId="14" borderId="1" xfId="1" applyNumberFormat="1" applyFont="1" applyFill="1" applyBorder="1" applyAlignment="1">
      <alignment horizontal="center"/>
    </xf>
    <xf numFmtId="2" fontId="1" fillId="14" borderId="1" xfId="1" applyNumberFormat="1" applyFont="1" applyFill="1" applyBorder="1" applyAlignment="1" applyProtection="1">
      <alignment horizontal="center"/>
      <protection locked="0"/>
    </xf>
    <xf numFmtId="164" fontId="1" fillId="14" borderId="1" xfId="1" applyNumberFormat="1" applyFont="1" applyFill="1" applyBorder="1" applyAlignment="1">
      <alignment horizontal="center"/>
    </xf>
    <xf numFmtId="0" fontId="1" fillId="14" borderId="1" xfId="1" applyFont="1" applyFill="1" applyBorder="1" applyAlignment="1" applyProtection="1">
      <alignment horizontal="center"/>
      <protection locked="0"/>
    </xf>
    <xf numFmtId="0" fontId="1" fillId="14" borderId="1" xfId="0" applyFont="1" applyFill="1" applyBorder="1" applyAlignment="1" applyProtection="1">
      <alignment horizontal="center"/>
      <protection locked="0"/>
    </xf>
    <xf numFmtId="1" fontId="1" fillId="14" borderId="1" xfId="0" applyNumberFormat="1" applyFont="1" applyFill="1" applyBorder="1" applyAlignment="1" applyProtection="1">
      <alignment horizontal="center"/>
      <protection locked="0"/>
    </xf>
    <xf numFmtId="2" fontId="1" fillId="14" borderId="1" xfId="0" applyNumberFormat="1" applyFont="1" applyFill="1" applyBorder="1" applyAlignment="1" applyProtection="1">
      <alignment horizontal="center"/>
      <protection locked="0"/>
    </xf>
    <xf numFmtId="164" fontId="1" fillId="14" borderId="1" xfId="1" applyNumberFormat="1" applyFont="1" applyFill="1" applyBorder="1" applyAlignment="1" applyProtection="1">
      <alignment horizontal="center"/>
      <protection locked="0"/>
    </xf>
    <xf numFmtId="9" fontId="1" fillId="14" borderId="1" xfId="1" applyNumberFormat="1" applyFont="1" applyFill="1" applyBorder="1" applyAlignment="1" applyProtection="1">
      <alignment horizontal="center"/>
      <protection locked="0"/>
    </xf>
    <xf numFmtId="165" fontId="1" fillId="14" borderId="1" xfId="0" applyNumberFormat="1" applyFont="1" applyFill="1" applyBorder="1" applyAlignment="1" applyProtection="1">
      <alignment horizontal="center"/>
      <protection locked="0"/>
    </xf>
    <xf numFmtId="9" fontId="1" fillId="14" borderId="1" xfId="0" applyNumberFormat="1" applyFont="1" applyFill="1" applyBorder="1" applyAlignment="1" applyProtection="1">
      <alignment horizontal="center"/>
      <protection locked="0"/>
    </xf>
    <xf numFmtId="1" fontId="0" fillId="14" borderId="1" xfId="0" applyNumberFormat="1" applyFill="1" applyBorder="1" applyAlignment="1" applyProtection="1">
      <alignment horizontal="center"/>
      <protection locked="0"/>
    </xf>
    <xf numFmtId="0" fontId="0" fillId="14" borderId="1" xfId="0" applyFill="1" applyBorder="1" applyAlignment="1" applyProtection="1">
      <alignment horizontal="center"/>
      <protection locked="0"/>
    </xf>
    <xf numFmtId="9" fontId="0" fillId="14" borderId="1" xfId="0" applyNumberFormat="1" applyFill="1" applyBorder="1" applyAlignment="1" applyProtection="1">
      <alignment horizontal="center"/>
      <protection locked="0"/>
    </xf>
    <xf numFmtId="0" fontId="0" fillId="14" borderId="0" xfId="0" applyFill="1" applyAlignment="1">
      <alignment horizontal="center"/>
    </xf>
    <xf numFmtId="0" fontId="9" fillId="14" borderId="0" xfId="0" applyFont="1" applyFill="1" applyAlignment="1">
      <alignment horizontal="right"/>
    </xf>
    <xf numFmtId="0" fontId="9" fillId="14" borderId="0" xfId="0" applyNumberFormat="1" applyFont="1" applyFill="1" applyAlignment="1">
      <alignment horizontal="left"/>
    </xf>
    <xf numFmtId="0" fontId="8" fillId="14" borderId="1" xfId="0" applyFont="1" applyFill="1" applyBorder="1" applyAlignment="1">
      <alignment horizontal="center" vertical="center" wrapText="1"/>
    </xf>
    <xf numFmtId="0" fontId="3" fillId="14" borderId="1" xfId="0" applyFont="1" applyFill="1" applyBorder="1" applyAlignment="1">
      <alignment horizontal="center" vertical="center" wrapText="1"/>
    </xf>
    <xf numFmtId="0" fontId="3" fillId="14" borderId="1" xfId="0" applyFont="1" applyFill="1" applyBorder="1" applyAlignment="1">
      <alignment horizontal="center" vertical="center"/>
    </xf>
    <xf numFmtId="0" fontId="1" fillId="14" borderId="0" xfId="0" applyFont="1" applyFill="1" applyAlignment="1">
      <alignment horizontal="center"/>
    </xf>
    <xf numFmtId="0" fontId="1" fillId="14" borderId="0" xfId="0" applyFont="1" applyFill="1" applyAlignment="1">
      <alignment horizontal="center" vertical="center"/>
    </xf>
    <xf numFmtId="0" fontId="0" fillId="14" borderId="0" xfId="0" applyFill="1" applyAlignment="1">
      <alignment horizontal="center" vertical="center"/>
    </xf>
    <xf numFmtId="1" fontId="33" fillId="14" borderId="1" xfId="1" applyNumberFormat="1" applyFont="1" applyFill="1" applyBorder="1" applyAlignment="1">
      <alignment horizontal="center"/>
    </xf>
    <xf numFmtId="2" fontId="33" fillId="14" borderId="1" xfId="1" applyNumberFormat="1" applyFont="1" applyFill="1" applyBorder="1" applyAlignment="1">
      <alignment horizontal="center"/>
    </xf>
    <xf numFmtId="0" fontId="33" fillId="14" borderId="1" xfId="1" applyFont="1" applyFill="1" applyBorder="1" applyAlignment="1">
      <alignment horizontal="center"/>
    </xf>
    <xf numFmtId="9" fontId="33" fillId="14" borderId="1" xfId="2" applyFont="1" applyFill="1" applyBorder="1" applyAlignment="1">
      <alignment horizontal="center"/>
    </xf>
    <xf numFmtId="2" fontId="33" fillId="14" borderId="1" xfId="1" applyNumberFormat="1" applyFont="1" applyFill="1" applyBorder="1" applyAlignment="1" applyProtection="1">
      <alignment horizontal="center"/>
      <protection locked="0"/>
    </xf>
    <xf numFmtId="0" fontId="33" fillId="14" borderId="10" xfId="1" applyFont="1" applyFill="1" applyBorder="1" applyAlignment="1" applyProtection="1">
      <alignment horizontal="center"/>
      <protection locked="0"/>
    </xf>
    <xf numFmtId="0" fontId="1" fillId="14" borderId="10" xfId="1" applyFont="1" applyFill="1" applyBorder="1" applyAlignment="1" applyProtection="1">
      <alignment horizontal="center"/>
      <protection locked="0"/>
    </xf>
    <xf numFmtId="0" fontId="1" fillId="14" borderId="1" xfId="1" applyFont="1" applyFill="1" applyBorder="1" applyAlignment="1">
      <alignment horizontal="center"/>
    </xf>
    <xf numFmtId="2" fontId="1" fillId="14" borderId="1" xfId="1" applyNumberFormat="1" applyFont="1" applyFill="1" applyBorder="1" applyAlignment="1">
      <alignment horizontal="center"/>
    </xf>
    <xf numFmtId="9" fontId="1" fillId="14" borderId="1" xfId="2" applyFont="1" applyFill="1" applyBorder="1" applyAlignment="1">
      <alignment horizontal="center"/>
    </xf>
    <xf numFmtId="0" fontId="0" fillId="14" borderId="0" xfId="0" applyFill="1" applyAlignment="1">
      <alignment vertical="center"/>
    </xf>
    <xf numFmtId="0" fontId="30" fillId="14" borderId="10" xfId="1" applyFont="1" applyFill="1" applyBorder="1" applyAlignment="1" applyProtection="1">
      <alignment horizontal="center"/>
      <protection locked="0"/>
    </xf>
    <xf numFmtId="2" fontId="30" fillId="14" borderId="1" xfId="1" applyNumberFormat="1" applyFont="1" applyFill="1" applyBorder="1" applyAlignment="1" applyProtection="1">
      <alignment horizontal="center"/>
      <protection locked="0"/>
    </xf>
    <xf numFmtId="0" fontId="30" fillId="14" borderId="1" xfId="1" applyFont="1" applyFill="1" applyBorder="1" applyAlignment="1">
      <alignment horizontal="center"/>
    </xf>
    <xf numFmtId="2" fontId="30" fillId="14" borderId="1" xfId="1" applyNumberFormat="1" applyFont="1" applyFill="1" applyBorder="1" applyAlignment="1">
      <alignment horizontal="center"/>
    </xf>
    <xf numFmtId="9" fontId="30" fillId="14" borderId="1" xfId="2" applyFont="1" applyFill="1" applyBorder="1" applyAlignment="1">
      <alignment horizontal="center"/>
    </xf>
    <xf numFmtId="0" fontId="33" fillId="14" borderId="10" xfId="0" applyFont="1" applyFill="1" applyBorder="1" applyAlignment="1" applyProtection="1">
      <alignment horizontal="center"/>
      <protection locked="0"/>
    </xf>
    <xf numFmtId="0" fontId="33" fillId="14" borderId="1" xfId="0" applyFont="1" applyFill="1" applyBorder="1" applyAlignment="1" applyProtection="1">
      <alignment horizontal="center"/>
      <protection locked="0"/>
    </xf>
    <xf numFmtId="1" fontId="33" fillId="14" borderId="1" xfId="0" applyNumberFormat="1" applyFont="1" applyFill="1" applyBorder="1" applyAlignment="1" applyProtection="1">
      <alignment horizontal="center"/>
      <protection locked="0"/>
    </xf>
    <xf numFmtId="1" fontId="33" fillId="14" borderId="11" xfId="0" applyNumberFormat="1" applyFont="1" applyFill="1" applyBorder="1" applyAlignment="1" applyProtection="1">
      <alignment horizontal="center"/>
      <protection locked="0"/>
    </xf>
    <xf numFmtId="0" fontId="33" fillId="14" borderId="12" xfId="0" applyFont="1" applyFill="1" applyBorder="1" applyAlignment="1" applyProtection="1">
      <alignment horizontal="center"/>
      <protection locked="0"/>
    </xf>
    <xf numFmtId="0" fontId="33" fillId="14" borderId="11" xfId="0" applyFont="1" applyFill="1" applyBorder="1" applyAlignment="1" applyProtection="1">
      <alignment horizontal="center"/>
      <protection locked="0"/>
    </xf>
    <xf numFmtId="9" fontId="33" fillId="14" borderId="11" xfId="2" applyFont="1" applyFill="1" applyBorder="1" applyAlignment="1">
      <alignment horizontal="center"/>
    </xf>
    <xf numFmtId="0" fontId="9" fillId="14" borderId="0" xfId="1" applyFont="1" applyFill="1" applyAlignment="1">
      <alignment horizontal="right"/>
    </xf>
    <xf numFmtId="0" fontId="9" fillId="14" borderId="0" xfId="1" applyNumberFormat="1" applyFont="1" applyFill="1" applyAlignment="1">
      <alignment horizontal="left"/>
    </xf>
    <xf numFmtId="0" fontId="1" fillId="14" borderId="0" xfId="1" applyFill="1" applyAlignment="1">
      <alignment horizontal="left"/>
    </xf>
    <xf numFmtId="0" fontId="8" fillId="14" borderId="3" xfId="0" applyFont="1" applyFill="1" applyBorder="1" applyAlignment="1">
      <alignment horizontal="center" vertical="center" wrapText="1"/>
    </xf>
    <xf numFmtId="0" fontId="1" fillId="14" borderId="0" xfId="0" applyFont="1" applyFill="1" applyAlignment="1">
      <alignment horizontal="left"/>
    </xf>
    <xf numFmtId="0" fontId="1" fillId="14" borderId="0" xfId="1" applyFill="1" applyAlignment="1">
      <alignment horizontal="center"/>
    </xf>
    <xf numFmtId="1" fontId="0" fillId="14" borderId="0" xfId="0" applyNumberFormat="1" applyFill="1" applyAlignment="1">
      <alignment horizontal="center"/>
    </xf>
    <xf numFmtId="0" fontId="0" fillId="14" borderId="0" xfId="0" applyFill="1" applyAlignment="1">
      <alignment horizontal="left"/>
    </xf>
    <xf numFmtId="1" fontId="1" fillId="14" borderId="0" xfId="1" applyNumberFormat="1" applyFill="1" applyAlignment="1">
      <alignment horizontal="center"/>
    </xf>
    <xf numFmtId="0" fontId="8" fillId="14" borderId="4" xfId="0" applyFont="1" applyFill="1" applyBorder="1" applyAlignment="1">
      <alignment horizontal="center" vertical="center" wrapText="1"/>
    </xf>
    <xf numFmtId="0" fontId="0" fillId="14" borderId="10" xfId="0" applyFill="1" applyBorder="1" applyAlignment="1" applyProtection="1">
      <alignment horizontal="center"/>
      <protection locked="0"/>
    </xf>
    <xf numFmtId="0" fontId="8" fillId="14" borderId="4" xfId="0" applyFont="1" applyFill="1" applyBorder="1" applyAlignment="1" applyProtection="1">
      <alignment horizontal="center" vertical="center" wrapText="1"/>
      <protection locked="0"/>
    </xf>
    <xf numFmtId="0" fontId="8" fillId="14" borderId="13" xfId="0" applyFont="1" applyFill="1" applyBorder="1" applyAlignment="1">
      <alignment horizontal="center" vertical="center" wrapText="1"/>
    </xf>
    <xf numFmtId="0" fontId="1" fillId="14" borderId="0" xfId="0" applyFont="1" applyFill="1"/>
    <xf numFmtId="1" fontId="0" fillId="14" borderId="0" xfId="0" applyNumberFormat="1" applyFill="1" applyBorder="1" applyAlignment="1" applyProtection="1">
      <alignment horizontal="center"/>
    </xf>
    <xf numFmtId="0" fontId="0" fillId="14" borderId="0" xfId="0" applyFill="1" applyBorder="1" applyAlignment="1" applyProtection="1">
      <alignment horizontal="center"/>
    </xf>
    <xf numFmtId="0" fontId="0" fillId="14" borderId="0" xfId="0" applyFill="1" applyAlignment="1" applyProtection="1">
      <alignment horizontal="center"/>
    </xf>
    <xf numFmtId="0" fontId="0" fillId="14" borderId="0" xfId="0" applyFill="1" applyProtection="1"/>
    <xf numFmtId="1" fontId="0" fillId="14" borderId="0" xfId="0" applyNumberFormat="1" applyFill="1" applyProtection="1"/>
    <xf numFmtId="0" fontId="9" fillId="14" borderId="0" xfId="1" applyFont="1" applyFill="1" applyAlignment="1" applyProtection="1">
      <alignment horizontal="right"/>
    </xf>
    <xf numFmtId="0" fontId="9" fillId="14" borderId="0" xfId="1" applyNumberFormat="1" applyFont="1" applyFill="1" applyAlignment="1" applyProtection="1">
      <alignment horizontal="left"/>
    </xf>
    <xf numFmtId="0" fontId="5" fillId="14" borderId="1" xfId="0" applyFont="1" applyFill="1" applyBorder="1" applyAlignment="1" applyProtection="1">
      <alignment horizontal="center" vertical="center" wrapText="1"/>
    </xf>
    <xf numFmtId="1" fontId="1" fillId="14" borderId="1" xfId="0" applyNumberFormat="1" applyFont="1" applyFill="1" applyBorder="1" applyAlignment="1" applyProtection="1">
      <alignment horizontal="center"/>
    </xf>
    <xf numFmtId="0" fontId="1" fillId="14" borderId="1" xfId="0" applyFont="1" applyFill="1" applyBorder="1" applyAlignment="1" applyProtection="1">
      <alignment horizontal="center"/>
    </xf>
    <xf numFmtId="0" fontId="5" fillId="14" borderId="3" xfId="0" applyFont="1" applyFill="1" applyBorder="1" applyAlignment="1" applyProtection="1">
      <alignment horizontal="center" vertical="center" wrapText="1"/>
    </xf>
    <xf numFmtId="0" fontId="0" fillId="0" borderId="0" xfId="0" applyAlignment="1" applyProtection="1">
      <alignment horizontal="center"/>
    </xf>
    <xf numFmtId="1" fontId="0" fillId="0" borderId="0" xfId="0" applyNumberFormat="1" applyProtection="1"/>
    <xf numFmtId="0" fontId="13" fillId="17" borderId="1" xfId="0" applyFont="1" applyFill="1" applyBorder="1" applyAlignment="1" applyProtection="1">
      <alignment horizontal="center" vertical="center" wrapText="1"/>
    </xf>
    <xf numFmtId="2" fontId="3" fillId="18" borderId="1" xfId="0" applyNumberFormat="1" applyFont="1" applyFill="1" applyBorder="1" applyAlignment="1" applyProtection="1">
      <alignment horizontal="center"/>
    </xf>
    <xf numFmtId="166" fontId="1" fillId="0" borderId="1" xfId="0" applyNumberFormat="1" applyFont="1" applyFill="1" applyBorder="1" applyAlignment="1">
      <alignment horizontal="center"/>
    </xf>
    <xf numFmtId="0" fontId="1" fillId="19" borderId="0" xfId="0" applyFont="1" applyFill="1" applyBorder="1" applyProtection="1"/>
    <xf numFmtId="0" fontId="1" fillId="0" borderId="0" xfId="0" applyFont="1" applyBorder="1" applyAlignment="1">
      <alignment horizontal="center" vertical="center"/>
    </xf>
    <xf numFmtId="166" fontId="1" fillId="9" borderId="0" xfId="0" applyNumberFormat="1" applyFont="1" applyFill="1" applyBorder="1" applyAlignment="1">
      <alignment horizontal="center"/>
    </xf>
    <xf numFmtId="166" fontId="1" fillId="8" borderId="0" xfId="0" applyNumberFormat="1" applyFont="1" applyFill="1" applyBorder="1" applyAlignment="1">
      <alignment horizontal="center"/>
    </xf>
    <xf numFmtId="0" fontId="24" fillId="7" borderId="14" xfId="0" applyFont="1" applyFill="1" applyBorder="1" applyAlignment="1">
      <alignment horizontal="left" vertical="center" wrapText="1"/>
    </xf>
    <xf numFmtId="0" fontId="24" fillId="7" borderId="15" xfId="0" applyFont="1" applyFill="1" applyBorder="1" applyAlignment="1">
      <alignment horizontal="left" vertical="center" wrapText="1"/>
    </xf>
    <xf numFmtId="0" fontId="24" fillId="7" borderId="16" xfId="0" applyFont="1" applyFill="1" applyBorder="1" applyAlignment="1">
      <alignment horizontal="left" vertical="center" wrapText="1"/>
    </xf>
    <xf numFmtId="14" fontId="5" fillId="0" borderId="17" xfId="0" applyNumberFormat="1" applyFont="1" applyBorder="1" applyAlignment="1">
      <alignment horizontal="center" vertical="center" wrapText="1"/>
    </xf>
    <xf numFmtId="0" fontId="5" fillId="0" borderId="18" xfId="0" applyFont="1" applyBorder="1" applyAlignment="1">
      <alignment horizontal="center" vertical="center" wrapText="1"/>
    </xf>
    <xf numFmtId="14" fontId="5" fillId="6" borderId="17" xfId="0" applyNumberFormat="1" applyFont="1" applyFill="1" applyBorder="1" applyAlignment="1">
      <alignment horizontal="center" vertical="center" wrapText="1"/>
    </xf>
    <xf numFmtId="0" fontId="5" fillId="6" borderId="18" xfId="0" applyFont="1" applyFill="1" applyBorder="1" applyAlignment="1">
      <alignment horizontal="center" vertical="center" wrapText="1"/>
    </xf>
    <xf numFmtId="0" fontId="5" fillId="0" borderId="17"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18" xfId="0" applyFont="1" applyBorder="1" applyAlignment="1">
      <alignment horizontal="center" vertical="center" wrapText="1"/>
    </xf>
    <xf numFmtId="0" fontId="3" fillId="0" borderId="6" xfId="0" applyFont="1" applyBorder="1" applyAlignment="1"/>
    <xf numFmtId="0" fontId="3" fillId="0" borderId="1" xfId="0" applyFont="1" applyBorder="1" applyAlignment="1"/>
    <xf numFmtId="0" fontId="3" fillId="0" borderId="7" xfId="0" applyFont="1" applyBorder="1" applyAlignment="1"/>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4" fillId="0" borderId="6" xfId="0" applyFont="1" applyBorder="1" applyAlignment="1"/>
    <xf numFmtId="0" fontId="4" fillId="0" borderId="1" xfId="0" applyFont="1" applyBorder="1" applyAlignment="1"/>
    <xf numFmtId="0" fontId="4" fillId="0" borderId="7" xfId="0" applyFont="1" applyBorder="1" applyAlignment="1"/>
    <xf numFmtId="0" fontId="3" fillId="0" borderId="1" xfId="0" applyFont="1" applyBorder="1" applyAlignment="1">
      <alignment horizontal="center" vertical="center" wrapText="1"/>
    </xf>
    <xf numFmtId="0" fontId="1" fillId="0" borderId="1" xfId="0" applyFont="1" applyBorder="1" applyAlignment="1">
      <alignment horizontal="center" vertical="center" wrapText="1"/>
    </xf>
    <xf numFmtId="0" fontId="0" fillId="0" borderId="1" xfId="0" applyBorder="1" applyAlignment="1">
      <alignment horizontal="center" vertical="center" wrapText="1"/>
    </xf>
    <xf numFmtId="0" fontId="3" fillId="5" borderId="10" xfId="0" applyFont="1" applyFill="1" applyBorder="1" applyAlignment="1">
      <alignment horizontal="center"/>
    </xf>
    <xf numFmtId="0" fontId="0" fillId="0" borderId="20" xfId="0" applyBorder="1" applyAlignment="1"/>
    <xf numFmtId="0" fontId="3" fillId="6" borderId="10" xfId="0" applyFont="1" applyFill="1" applyBorder="1" applyAlignment="1">
      <alignment horizontal="center"/>
    </xf>
    <xf numFmtId="0" fontId="3" fillId="6" borderId="20" xfId="0" applyFont="1" applyFill="1" applyBorder="1" applyAlignment="1">
      <alignment horizontal="center"/>
    </xf>
    <xf numFmtId="0" fontId="10" fillId="0" borderId="0" xfId="0" applyFont="1" applyBorder="1" applyAlignment="1"/>
    <xf numFmtId="0" fontId="4" fillId="0" borderId="0" xfId="0" applyFont="1" applyBorder="1"/>
    <xf numFmtId="0" fontId="4" fillId="0" borderId="0" xfId="0" applyFont="1" applyBorder="1" applyAlignment="1" applyProtection="1">
      <alignment horizontal="left"/>
      <protection locked="0"/>
    </xf>
    <xf numFmtId="0" fontId="1" fillId="7" borderId="0" xfId="0" applyFont="1" applyFill="1" applyBorder="1" applyAlignment="1" applyProtection="1">
      <alignment horizontal="left"/>
      <protection locked="0"/>
    </xf>
    <xf numFmtId="0" fontId="4" fillId="7" borderId="0" xfId="0" applyFont="1" applyFill="1" applyBorder="1" applyAlignment="1" applyProtection="1">
      <alignment horizontal="left"/>
      <protection locked="0"/>
    </xf>
    <xf numFmtId="0" fontId="0" fillId="0" borderId="0" xfId="0" applyAlignment="1">
      <alignment horizontal="left"/>
    </xf>
    <xf numFmtId="0" fontId="4" fillId="0" borderId="21" xfId="0" applyFont="1" applyBorder="1" applyAlignment="1">
      <alignment wrapText="1"/>
    </xf>
    <xf numFmtId="0" fontId="0" fillId="0" borderId="22" xfId="0" applyBorder="1" applyAlignment="1">
      <alignment wrapText="1"/>
    </xf>
    <xf numFmtId="0" fontId="0" fillId="0" borderId="23" xfId="0" applyBorder="1" applyAlignment="1">
      <alignment wrapText="1"/>
    </xf>
    <xf numFmtId="0" fontId="4" fillId="0" borderId="24" xfId="0" applyFont="1" applyBorder="1" applyAlignment="1">
      <alignment wrapText="1"/>
    </xf>
    <xf numFmtId="0" fontId="0" fillId="0" borderId="25" xfId="0" applyBorder="1" applyAlignment="1">
      <alignment wrapText="1"/>
    </xf>
    <xf numFmtId="0" fontId="0" fillId="0" borderId="26" xfId="0" applyBorder="1" applyAlignment="1">
      <alignment wrapText="1"/>
    </xf>
    <xf numFmtId="0" fontId="29" fillId="13" borderId="0" xfId="0" applyFont="1" applyFill="1" applyBorder="1" applyAlignment="1">
      <alignment horizontal="left" vertical="center" wrapText="1"/>
    </xf>
    <xf numFmtId="0" fontId="0" fillId="0" borderId="0" xfId="0" applyAlignment="1">
      <alignment horizontal="left" vertical="center" wrapText="1"/>
    </xf>
    <xf numFmtId="0" fontId="28" fillId="13" borderId="0" xfId="0" applyFont="1" applyFill="1" applyBorder="1" applyAlignment="1">
      <alignment horizontal="left" vertical="center" wrapText="1"/>
    </xf>
    <xf numFmtId="0" fontId="28" fillId="0" borderId="0" xfId="0" applyFont="1" applyAlignment="1">
      <alignment horizontal="left" vertical="center" wrapText="1"/>
    </xf>
    <xf numFmtId="0" fontId="3" fillId="7" borderId="0" xfId="0" applyFont="1" applyFill="1" applyBorder="1" applyAlignment="1" applyProtection="1">
      <alignment horizontal="center" vertical="center" wrapText="1"/>
    </xf>
    <xf numFmtId="0" fontId="3" fillId="7" borderId="0" xfId="0" applyFont="1" applyFill="1" applyAlignment="1" applyProtection="1">
      <alignment horizontal="center" vertical="center" wrapText="1"/>
    </xf>
    <xf numFmtId="0" fontId="3" fillId="0" borderId="1" xfId="0" applyFont="1" applyBorder="1" applyAlignment="1">
      <alignment horizontal="center" vertical="center"/>
    </xf>
    <xf numFmtId="0" fontId="4" fillId="0" borderId="1" xfId="0" applyFont="1" applyBorder="1" applyAlignment="1">
      <alignment horizontal="center" vertical="center"/>
    </xf>
    <xf numFmtId="0" fontId="3" fillId="0" borderId="10" xfId="0" applyFont="1" applyBorder="1" applyAlignment="1">
      <alignment horizontal="center" vertical="center" wrapText="1"/>
    </xf>
    <xf numFmtId="0" fontId="0" fillId="0" borderId="22" xfId="0" applyBorder="1" applyAlignment="1">
      <alignment horizontal="center" vertical="center" wrapText="1"/>
    </xf>
    <xf numFmtId="0" fontId="0" fillId="0" borderId="20" xfId="0" applyBorder="1" applyAlignment="1">
      <alignment horizontal="center" vertical="center" wrapText="1"/>
    </xf>
    <xf numFmtId="2" fontId="3" fillId="9" borderId="10" xfId="0" applyNumberFormat="1" applyFont="1" applyFill="1" applyBorder="1" applyAlignment="1" applyProtection="1">
      <alignment horizontal="left" vertical="center"/>
    </xf>
    <xf numFmtId="0" fontId="0" fillId="0" borderId="22" xfId="0" applyBorder="1" applyAlignment="1">
      <alignment horizontal="left" vertical="center"/>
    </xf>
    <xf numFmtId="0" fontId="0" fillId="0" borderId="20" xfId="0" applyBorder="1" applyAlignment="1">
      <alignment horizontal="left" vertical="center"/>
    </xf>
    <xf numFmtId="0" fontId="3" fillId="14" borderId="10" xfId="1" applyFont="1" applyFill="1" applyBorder="1" applyAlignment="1">
      <alignment horizontal="center" vertical="center"/>
    </xf>
    <xf numFmtId="0" fontId="0" fillId="0" borderId="22" xfId="0" applyBorder="1" applyAlignment="1">
      <alignment horizontal="center" vertical="center"/>
    </xf>
    <xf numFmtId="0" fontId="0" fillId="0" borderId="20" xfId="0" applyBorder="1" applyAlignment="1">
      <alignment horizontal="center" vertical="center"/>
    </xf>
    <xf numFmtId="0" fontId="3" fillId="14" borderId="10" xfId="1" applyFont="1" applyFill="1" applyBorder="1" applyAlignment="1">
      <alignment horizontal="center" vertical="center" wrapText="1"/>
    </xf>
    <xf numFmtId="0" fontId="1" fillId="14" borderId="22" xfId="1" applyFill="1" applyBorder="1" applyAlignment="1">
      <alignment horizontal="center" vertical="center" wrapText="1"/>
    </xf>
    <xf numFmtId="0" fontId="1" fillId="14" borderId="20" xfId="1" applyFill="1" applyBorder="1" applyAlignment="1">
      <alignment horizontal="center" vertical="center" wrapText="1"/>
    </xf>
    <xf numFmtId="0" fontId="3" fillId="14" borderId="10" xfId="0" applyFont="1" applyFill="1" applyBorder="1" applyAlignment="1" applyProtection="1">
      <alignment horizontal="left" vertical="center"/>
    </xf>
    <xf numFmtId="0" fontId="1" fillId="14" borderId="22" xfId="0" applyFont="1" applyFill="1" applyBorder="1" applyAlignment="1" applyProtection="1">
      <alignment horizontal="left"/>
    </xf>
    <xf numFmtId="0" fontId="0" fillId="14" borderId="20" xfId="0" applyFill="1" applyBorder="1" applyAlignment="1" applyProtection="1"/>
    <xf numFmtId="0" fontId="8" fillId="14" borderId="10" xfId="0" applyFont="1" applyFill="1" applyBorder="1" applyAlignment="1" applyProtection="1">
      <alignment horizontal="left" vertical="center"/>
    </xf>
    <xf numFmtId="0" fontId="2" fillId="14" borderId="22" xfId="0" applyFont="1" applyFill="1" applyBorder="1" applyAlignment="1" applyProtection="1">
      <alignment horizontal="left"/>
    </xf>
    <xf numFmtId="0" fontId="2" fillId="14" borderId="20" xfId="0" applyFont="1" applyFill="1" applyBorder="1" applyAlignment="1" applyProtection="1">
      <alignment horizontal="left"/>
    </xf>
    <xf numFmtId="0" fontId="13" fillId="14" borderId="10" xfId="0" applyFont="1" applyFill="1" applyBorder="1" applyAlignment="1" applyProtection="1">
      <alignment horizontal="left" vertical="center"/>
    </xf>
    <xf numFmtId="0" fontId="19" fillId="14" borderId="22" xfId="0" applyFont="1" applyFill="1" applyBorder="1" applyAlignment="1" applyProtection="1">
      <alignment horizontal="left"/>
    </xf>
    <xf numFmtId="0" fontId="19" fillId="14" borderId="20" xfId="0" applyFont="1" applyFill="1" applyBorder="1" applyAlignment="1" applyProtection="1">
      <alignment horizontal="left"/>
    </xf>
    <xf numFmtId="0" fontId="3" fillId="14" borderId="22" xfId="1" applyFont="1" applyFill="1" applyBorder="1" applyAlignment="1">
      <alignment horizontal="center" vertical="center" wrapText="1"/>
    </xf>
    <xf numFmtId="0" fontId="3" fillId="14" borderId="20" xfId="1" applyFont="1" applyFill="1" applyBorder="1" applyAlignment="1">
      <alignment horizontal="center" vertical="center" wrapText="1"/>
    </xf>
    <xf numFmtId="0" fontId="10" fillId="14" borderId="10" xfId="0" applyFont="1" applyFill="1" applyBorder="1" applyAlignment="1">
      <alignment horizontal="center" vertical="center"/>
    </xf>
    <xf numFmtId="0" fontId="0" fillId="14" borderId="22" xfId="0" applyFill="1" applyBorder="1" applyAlignment="1">
      <alignment horizontal="center"/>
    </xf>
    <xf numFmtId="0" fontId="0" fillId="14" borderId="20" xfId="0" applyFill="1" applyBorder="1" applyAlignment="1">
      <alignment horizontal="center"/>
    </xf>
    <xf numFmtId="0" fontId="3" fillId="14" borderId="1" xfId="1" applyFont="1" applyFill="1" applyBorder="1" applyAlignment="1">
      <alignment horizontal="center" vertical="center" wrapText="1"/>
    </xf>
    <xf numFmtId="0" fontId="1" fillId="14" borderId="1" xfId="1" applyFill="1" applyBorder="1" applyAlignment="1">
      <alignment horizontal="center" vertical="center" wrapText="1"/>
    </xf>
    <xf numFmtId="0" fontId="3" fillId="14" borderId="22" xfId="1" applyFont="1" applyFill="1" applyBorder="1" applyAlignment="1">
      <alignment horizontal="center" vertical="center"/>
    </xf>
    <xf numFmtId="0" fontId="10" fillId="14" borderId="10" xfId="1" applyFont="1" applyFill="1" applyBorder="1" applyAlignment="1">
      <alignment horizontal="center" vertical="center" wrapText="1"/>
    </xf>
    <xf numFmtId="0" fontId="10" fillId="14" borderId="20" xfId="1" applyFont="1" applyFill="1" applyBorder="1" applyAlignment="1">
      <alignment horizontal="center" vertical="center" wrapText="1"/>
    </xf>
    <xf numFmtId="0" fontId="3" fillId="14" borderId="10" xfId="0" applyFont="1" applyFill="1" applyBorder="1" applyAlignment="1">
      <alignment horizontal="center" vertical="center"/>
    </xf>
    <xf numFmtId="0" fontId="0" fillId="14" borderId="22" xfId="0" applyFill="1" applyBorder="1" applyAlignment="1">
      <alignment horizontal="center" vertical="center"/>
    </xf>
    <xf numFmtId="0" fontId="0" fillId="14" borderId="20" xfId="0" applyFill="1" applyBorder="1" applyAlignment="1">
      <alignment horizontal="center" vertical="center"/>
    </xf>
  </cellXfs>
  <cellStyles count="3">
    <cellStyle name="Normal" xfId="0" builtinId="0"/>
    <cellStyle name="Normal 2" xfId="1"/>
    <cellStyle name="Percent" xfId="2" builtinId="5"/>
  </cellStyles>
  <dxfs count="154">
    <dxf>
      <font>
        <b val="0"/>
        <i val="0"/>
        <condense val="0"/>
        <extend val="0"/>
        <color indexed="10"/>
      </font>
    </dxf>
    <dxf>
      <font>
        <b val="0"/>
        <i val="0"/>
        <condense val="0"/>
        <extend val="0"/>
        <color indexed="10"/>
      </font>
    </dxf>
    <dxf>
      <font>
        <color theme="2" tint="-0.24994659260841701"/>
      </font>
    </dxf>
    <dxf>
      <font>
        <b val="0"/>
        <i val="0"/>
        <condense val="0"/>
        <extend val="0"/>
        <color indexed="10"/>
      </font>
    </dxf>
    <dxf>
      <font>
        <b/>
        <i val="0"/>
        <condense val="0"/>
        <extend val="0"/>
        <color indexed="20"/>
      </font>
    </dxf>
    <dxf>
      <font>
        <b/>
        <i val="0"/>
        <condense val="0"/>
        <extend val="0"/>
        <color indexed="12"/>
      </font>
    </dxf>
    <dxf>
      <font>
        <b/>
        <i val="0"/>
        <condense val="0"/>
        <extend val="0"/>
        <color indexed="10"/>
      </font>
    </dxf>
    <dxf>
      <font>
        <b val="0"/>
        <i val="0"/>
        <condense val="0"/>
        <extend val="0"/>
        <color indexed="10"/>
      </font>
    </dxf>
    <dxf>
      <font>
        <b/>
        <i val="0"/>
        <condense val="0"/>
        <extend val="0"/>
        <color indexed="20"/>
      </font>
    </dxf>
    <dxf>
      <font>
        <b/>
        <i val="0"/>
        <condense val="0"/>
        <extend val="0"/>
        <color indexed="12"/>
      </font>
    </dxf>
    <dxf>
      <font>
        <b/>
        <i val="0"/>
        <condense val="0"/>
        <extend val="0"/>
        <color indexed="10"/>
      </font>
    </dxf>
    <dxf>
      <font>
        <b/>
        <i val="0"/>
        <condense val="0"/>
        <extend val="0"/>
        <color indexed="20"/>
      </font>
    </dxf>
    <dxf>
      <font>
        <b/>
        <i val="0"/>
        <condense val="0"/>
        <extend val="0"/>
        <color indexed="12"/>
      </font>
    </dxf>
    <dxf>
      <font>
        <b/>
        <i val="0"/>
        <condense val="0"/>
        <extend val="0"/>
        <color indexed="10"/>
      </font>
    </dxf>
    <dxf>
      <font>
        <condense val="0"/>
        <extend val="0"/>
        <color indexed="22"/>
      </font>
    </dxf>
    <dxf>
      <font>
        <b/>
        <i val="0"/>
        <condense val="0"/>
        <extend val="0"/>
        <color indexed="48"/>
      </font>
    </dxf>
    <dxf>
      <font>
        <b/>
        <i val="0"/>
        <condense val="0"/>
        <extend val="0"/>
        <color indexed="10"/>
      </font>
    </dxf>
    <dxf>
      <font>
        <condense val="0"/>
        <extend val="0"/>
        <color indexed="22"/>
      </font>
    </dxf>
    <dxf>
      <font>
        <b/>
        <i val="0"/>
        <condense val="0"/>
        <extend val="0"/>
        <color indexed="10"/>
      </font>
    </dxf>
    <dxf>
      <font>
        <condense val="0"/>
        <extend val="0"/>
        <color indexed="22"/>
      </font>
    </dxf>
    <dxf>
      <font>
        <b/>
        <i val="0"/>
        <condense val="0"/>
        <extend val="0"/>
        <color indexed="10"/>
      </font>
    </dxf>
    <dxf>
      <font>
        <condense val="0"/>
        <extend val="0"/>
        <color indexed="22"/>
      </font>
    </dxf>
    <dxf>
      <font>
        <b/>
        <i val="0"/>
        <condense val="0"/>
        <extend val="0"/>
        <color indexed="10"/>
      </font>
    </dxf>
    <dxf>
      <font>
        <condense val="0"/>
        <extend val="0"/>
        <color indexed="22"/>
      </font>
    </dxf>
    <dxf>
      <font>
        <b/>
        <i val="0"/>
        <condense val="0"/>
        <extend val="0"/>
        <color indexed="10"/>
      </font>
    </dxf>
    <dxf>
      <font>
        <condense val="0"/>
        <extend val="0"/>
        <color indexed="22"/>
      </font>
    </dxf>
    <dxf>
      <font>
        <b/>
        <i val="0"/>
        <condense val="0"/>
        <extend val="0"/>
        <color indexed="10"/>
      </font>
    </dxf>
    <dxf>
      <font>
        <condense val="0"/>
        <extend val="0"/>
        <color indexed="22"/>
      </font>
    </dxf>
    <dxf>
      <font>
        <b/>
        <i val="0"/>
        <condense val="0"/>
        <extend val="0"/>
        <color indexed="10"/>
      </font>
    </dxf>
    <dxf>
      <font>
        <condense val="0"/>
        <extend val="0"/>
        <color indexed="22"/>
      </font>
    </dxf>
    <dxf>
      <font>
        <b/>
        <i val="0"/>
        <condense val="0"/>
        <extend val="0"/>
        <color indexed="10"/>
      </font>
    </dxf>
    <dxf>
      <font>
        <condense val="0"/>
        <extend val="0"/>
        <color indexed="22"/>
      </font>
    </dxf>
    <dxf>
      <font>
        <b/>
        <i val="0"/>
        <condense val="0"/>
        <extend val="0"/>
        <color indexed="10"/>
      </font>
    </dxf>
    <dxf>
      <font>
        <condense val="0"/>
        <extend val="0"/>
        <color indexed="22"/>
      </font>
    </dxf>
    <dxf>
      <font>
        <b/>
        <i val="0"/>
        <condense val="0"/>
        <extend val="0"/>
        <color indexed="10"/>
      </font>
    </dxf>
    <dxf>
      <font>
        <condense val="0"/>
        <extend val="0"/>
        <color indexed="22"/>
      </font>
    </dxf>
    <dxf>
      <font>
        <b/>
        <i val="0"/>
        <condense val="0"/>
        <extend val="0"/>
        <color indexed="10"/>
      </font>
    </dxf>
    <dxf>
      <font>
        <condense val="0"/>
        <extend val="0"/>
        <color indexed="22"/>
      </font>
    </dxf>
    <dxf>
      <font>
        <b/>
        <i val="0"/>
        <condense val="0"/>
        <extend val="0"/>
        <color indexed="10"/>
      </font>
    </dxf>
    <dxf>
      <font>
        <condense val="0"/>
        <extend val="0"/>
        <color indexed="22"/>
      </font>
    </dxf>
    <dxf>
      <font>
        <b/>
        <i val="0"/>
        <condense val="0"/>
        <extend val="0"/>
        <color indexed="10"/>
      </font>
    </dxf>
    <dxf>
      <font>
        <condense val="0"/>
        <extend val="0"/>
        <color indexed="22"/>
      </font>
    </dxf>
    <dxf>
      <font>
        <b/>
        <i val="0"/>
        <condense val="0"/>
        <extend val="0"/>
        <color indexed="10"/>
      </font>
    </dxf>
    <dxf>
      <font>
        <condense val="0"/>
        <extend val="0"/>
        <color indexed="22"/>
      </font>
    </dxf>
    <dxf>
      <font>
        <b/>
        <i val="0"/>
        <condense val="0"/>
        <extend val="0"/>
        <color indexed="10"/>
      </font>
    </dxf>
    <dxf>
      <font>
        <condense val="0"/>
        <extend val="0"/>
        <color indexed="22"/>
      </font>
    </dxf>
    <dxf>
      <font>
        <b/>
        <i val="0"/>
        <condense val="0"/>
        <extend val="0"/>
        <color indexed="10"/>
      </font>
    </dxf>
    <dxf>
      <font>
        <condense val="0"/>
        <extend val="0"/>
        <color indexed="22"/>
      </font>
    </dxf>
    <dxf>
      <font>
        <b/>
        <i val="0"/>
        <condense val="0"/>
        <extend val="0"/>
        <color indexed="10"/>
      </font>
    </dxf>
    <dxf>
      <font>
        <condense val="0"/>
        <extend val="0"/>
        <color indexed="22"/>
      </font>
    </dxf>
    <dxf>
      <font>
        <b/>
        <i val="0"/>
        <condense val="0"/>
        <extend val="0"/>
        <color indexed="10"/>
      </font>
    </dxf>
    <dxf>
      <font>
        <condense val="0"/>
        <extend val="0"/>
        <color indexed="22"/>
      </font>
    </dxf>
    <dxf>
      <font>
        <b/>
        <i val="0"/>
        <condense val="0"/>
        <extend val="0"/>
        <color indexed="10"/>
      </font>
    </dxf>
    <dxf>
      <font>
        <condense val="0"/>
        <extend val="0"/>
        <color indexed="22"/>
      </font>
    </dxf>
    <dxf>
      <font>
        <b/>
        <i val="0"/>
        <condense val="0"/>
        <extend val="0"/>
        <color indexed="10"/>
      </font>
    </dxf>
    <dxf>
      <font>
        <condense val="0"/>
        <extend val="0"/>
        <color indexed="22"/>
      </font>
    </dxf>
    <dxf>
      <font>
        <b/>
        <i val="0"/>
        <condense val="0"/>
        <extend val="0"/>
        <color indexed="10"/>
      </font>
    </dxf>
    <dxf>
      <font>
        <condense val="0"/>
        <extend val="0"/>
        <color indexed="22"/>
      </font>
    </dxf>
    <dxf>
      <font>
        <b/>
        <i val="0"/>
        <condense val="0"/>
        <extend val="0"/>
        <color indexed="10"/>
      </font>
    </dxf>
    <dxf>
      <font>
        <condense val="0"/>
        <extend val="0"/>
        <color indexed="22"/>
      </font>
    </dxf>
    <dxf>
      <font>
        <b/>
        <i val="0"/>
        <condense val="0"/>
        <extend val="0"/>
        <color indexed="10"/>
      </font>
    </dxf>
    <dxf>
      <font>
        <condense val="0"/>
        <extend val="0"/>
        <color indexed="22"/>
      </font>
    </dxf>
    <dxf>
      <font>
        <b/>
        <i val="0"/>
        <condense val="0"/>
        <extend val="0"/>
        <color indexed="10"/>
      </font>
    </dxf>
    <dxf>
      <font>
        <condense val="0"/>
        <extend val="0"/>
        <color indexed="22"/>
      </font>
    </dxf>
    <dxf>
      <font>
        <b/>
        <i val="0"/>
        <condense val="0"/>
        <extend val="0"/>
        <color indexed="10"/>
      </font>
    </dxf>
    <dxf>
      <font>
        <condense val="0"/>
        <extend val="0"/>
        <color indexed="22"/>
      </font>
    </dxf>
    <dxf>
      <font>
        <b/>
        <i val="0"/>
        <condense val="0"/>
        <extend val="0"/>
        <color indexed="10"/>
      </font>
    </dxf>
    <dxf>
      <font>
        <condense val="0"/>
        <extend val="0"/>
        <color indexed="22"/>
      </font>
    </dxf>
    <dxf>
      <font>
        <b/>
        <i val="0"/>
        <condense val="0"/>
        <extend val="0"/>
        <color indexed="10"/>
      </font>
    </dxf>
    <dxf>
      <font>
        <condense val="0"/>
        <extend val="0"/>
        <color indexed="22"/>
      </font>
    </dxf>
    <dxf>
      <font>
        <b/>
        <i val="0"/>
        <condense val="0"/>
        <extend val="0"/>
        <color indexed="10"/>
      </font>
    </dxf>
    <dxf>
      <font>
        <condense val="0"/>
        <extend val="0"/>
        <color indexed="22"/>
      </font>
    </dxf>
    <dxf>
      <font>
        <b/>
        <i val="0"/>
        <condense val="0"/>
        <extend val="0"/>
        <color indexed="10"/>
      </font>
    </dxf>
    <dxf>
      <font>
        <condense val="0"/>
        <extend val="0"/>
        <color indexed="22"/>
      </font>
    </dxf>
    <dxf>
      <font>
        <b/>
        <i val="0"/>
        <condense val="0"/>
        <extend val="0"/>
        <color indexed="10"/>
      </font>
    </dxf>
    <dxf>
      <font>
        <condense val="0"/>
        <extend val="0"/>
        <color indexed="22"/>
      </font>
    </dxf>
    <dxf>
      <font>
        <b/>
        <i val="0"/>
        <condense val="0"/>
        <extend val="0"/>
        <color indexed="10"/>
      </font>
    </dxf>
    <dxf>
      <font>
        <condense val="0"/>
        <extend val="0"/>
        <color indexed="22"/>
      </font>
    </dxf>
    <dxf>
      <font>
        <b/>
        <i val="0"/>
        <condense val="0"/>
        <extend val="0"/>
        <color indexed="10"/>
      </font>
    </dxf>
    <dxf>
      <font>
        <condense val="0"/>
        <extend val="0"/>
        <color indexed="22"/>
      </font>
    </dxf>
    <dxf>
      <font>
        <b/>
        <i val="0"/>
        <condense val="0"/>
        <extend val="0"/>
        <color indexed="10"/>
      </font>
    </dxf>
    <dxf>
      <font>
        <condense val="0"/>
        <extend val="0"/>
        <color indexed="22"/>
      </font>
    </dxf>
    <dxf>
      <font>
        <b/>
        <i val="0"/>
        <condense val="0"/>
        <extend val="0"/>
        <color indexed="10"/>
      </font>
    </dxf>
    <dxf>
      <font>
        <condense val="0"/>
        <extend val="0"/>
        <color indexed="22"/>
      </font>
    </dxf>
    <dxf>
      <font>
        <b/>
        <i val="0"/>
        <condense val="0"/>
        <extend val="0"/>
        <color indexed="10"/>
      </font>
    </dxf>
    <dxf>
      <font>
        <condense val="0"/>
        <extend val="0"/>
        <color indexed="22"/>
      </font>
    </dxf>
    <dxf>
      <font>
        <b/>
        <i val="0"/>
        <condense val="0"/>
        <extend val="0"/>
        <color indexed="10"/>
      </font>
    </dxf>
    <dxf>
      <font>
        <condense val="0"/>
        <extend val="0"/>
        <color indexed="22"/>
      </font>
    </dxf>
    <dxf>
      <font>
        <b/>
        <i val="0"/>
        <condense val="0"/>
        <extend val="0"/>
        <color indexed="10"/>
      </font>
    </dxf>
    <dxf>
      <font>
        <condense val="0"/>
        <extend val="0"/>
        <color indexed="22"/>
      </font>
    </dxf>
    <dxf>
      <font>
        <b/>
        <i val="0"/>
        <condense val="0"/>
        <extend val="0"/>
        <color indexed="10"/>
      </font>
    </dxf>
    <dxf>
      <font>
        <condense val="0"/>
        <extend val="0"/>
        <color indexed="22"/>
      </font>
    </dxf>
    <dxf>
      <font>
        <b/>
        <i val="0"/>
        <condense val="0"/>
        <extend val="0"/>
        <color indexed="10"/>
      </font>
    </dxf>
    <dxf>
      <font>
        <condense val="0"/>
        <extend val="0"/>
        <color indexed="22"/>
      </font>
    </dxf>
    <dxf>
      <font>
        <b/>
        <i val="0"/>
        <condense val="0"/>
        <extend val="0"/>
        <color indexed="10"/>
      </font>
    </dxf>
    <dxf>
      <font>
        <condense val="0"/>
        <extend val="0"/>
        <color indexed="22"/>
      </font>
    </dxf>
    <dxf>
      <font>
        <b/>
        <i val="0"/>
        <condense val="0"/>
        <extend val="0"/>
        <color indexed="10"/>
      </font>
    </dxf>
    <dxf>
      <font>
        <condense val="0"/>
        <extend val="0"/>
        <color indexed="22"/>
      </font>
    </dxf>
    <dxf>
      <font>
        <b/>
        <i val="0"/>
        <condense val="0"/>
        <extend val="0"/>
        <color indexed="10"/>
      </font>
    </dxf>
    <dxf>
      <font>
        <condense val="0"/>
        <extend val="0"/>
        <color indexed="22"/>
      </font>
    </dxf>
    <dxf>
      <font>
        <b/>
        <i val="0"/>
        <condense val="0"/>
        <extend val="0"/>
        <color indexed="10"/>
      </font>
    </dxf>
    <dxf>
      <font>
        <condense val="0"/>
        <extend val="0"/>
        <color indexed="22"/>
      </font>
    </dxf>
    <dxf>
      <font>
        <b/>
        <i val="0"/>
        <condense val="0"/>
        <extend val="0"/>
        <color indexed="10"/>
      </font>
    </dxf>
    <dxf>
      <font>
        <condense val="0"/>
        <extend val="0"/>
        <color indexed="22"/>
      </font>
    </dxf>
    <dxf>
      <font>
        <b/>
        <i val="0"/>
        <condense val="0"/>
        <extend val="0"/>
        <color indexed="10"/>
      </font>
    </dxf>
    <dxf>
      <font>
        <condense val="0"/>
        <extend val="0"/>
        <color indexed="22"/>
      </font>
    </dxf>
    <dxf>
      <font>
        <b/>
        <i val="0"/>
        <condense val="0"/>
        <extend val="0"/>
        <color indexed="10"/>
      </font>
    </dxf>
    <dxf>
      <font>
        <condense val="0"/>
        <extend val="0"/>
        <color indexed="22"/>
      </font>
    </dxf>
    <dxf>
      <font>
        <b/>
        <i val="0"/>
        <condense val="0"/>
        <extend val="0"/>
        <color indexed="10"/>
      </font>
    </dxf>
    <dxf>
      <font>
        <condense val="0"/>
        <extend val="0"/>
        <color indexed="22"/>
      </font>
    </dxf>
    <dxf>
      <font>
        <b/>
        <i val="0"/>
        <condense val="0"/>
        <extend val="0"/>
        <color indexed="10"/>
      </font>
    </dxf>
    <dxf>
      <font>
        <condense val="0"/>
        <extend val="0"/>
        <color indexed="22"/>
      </font>
    </dxf>
    <dxf>
      <font>
        <b/>
        <i val="0"/>
        <condense val="0"/>
        <extend val="0"/>
        <color indexed="10"/>
      </font>
    </dxf>
    <dxf>
      <font>
        <condense val="0"/>
        <extend val="0"/>
        <color indexed="22"/>
      </font>
    </dxf>
    <dxf>
      <font>
        <b/>
        <i val="0"/>
        <condense val="0"/>
        <extend val="0"/>
        <color indexed="10"/>
      </font>
    </dxf>
    <dxf>
      <font>
        <condense val="0"/>
        <extend val="0"/>
        <color indexed="22"/>
      </font>
    </dxf>
    <dxf>
      <font>
        <b/>
        <i val="0"/>
        <condense val="0"/>
        <extend val="0"/>
        <color indexed="10"/>
      </font>
    </dxf>
    <dxf>
      <font>
        <condense val="0"/>
        <extend val="0"/>
        <color indexed="22"/>
      </font>
    </dxf>
    <dxf>
      <font>
        <b/>
        <i val="0"/>
        <condense val="0"/>
        <extend val="0"/>
        <color indexed="10"/>
      </font>
    </dxf>
    <dxf>
      <font>
        <condense val="0"/>
        <extend val="0"/>
        <color indexed="22"/>
      </font>
    </dxf>
    <dxf>
      <font>
        <b/>
        <i val="0"/>
        <condense val="0"/>
        <extend val="0"/>
        <color indexed="10"/>
      </font>
    </dxf>
    <dxf>
      <font>
        <condense val="0"/>
        <extend val="0"/>
        <color indexed="22"/>
      </font>
    </dxf>
    <dxf>
      <font>
        <b/>
        <i val="0"/>
        <condense val="0"/>
        <extend val="0"/>
        <color indexed="10"/>
      </font>
    </dxf>
    <dxf>
      <font>
        <condense val="0"/>
        <extend val="0"/>
        <color indexed="22"/>
      </font>
    </dxf>
    <dxf>
      <font>
        <b/>
        <i val="0"/>
        <condense val="0"/>
        <extend val="0"/>
        <color indexed="10"/>
      </font>
    </dxf>
    <dxf>
      <font>
        <condense val="0"/>
        <extend val="0"/>
        <color indexed="22"/>
      </font>
    </dxf>
    <dxf>
      <font>
        <b/>
        <i val="0"/>
        <condense val="0"/>
        <extend val="0"/>
        <color indexed="10"/>
      </font>
    </dxf>
    <dxf>
      <font>
        <condense val="0"/>
        <extend val="0"/>
        <color indexed="22"/>
      </font>
    </dxf>
    <dxf>
      <font>
        <b/>
        <i val="0"/>
        <condense val="0"/>
        <extend val="0"/>
        <color indexed="10"/>
      </font>
    </dxf>
    <dxf>
      <font>
        <condense val="0"/>
        <extend val="0"/>
        <color indexed="22"/>
      </font>
    </dxf>
    <dxf>
      <font>
        <b/>
        <i val="0"/>
        <condense val="0"/>
        <extend val="0"/>
        <color indexed="10"/>
      </font>
    </dxf>
    <dxf>
      <font>
        <condense val="0"/>
        <extend val="0"/>
        <color indexed="22"/>
      </font>
    </dxf>
    <dxf>
      <font>
        <b/>
        <i val="0"/>
        <condense val="0"/>
        <extend val="0"/>
        <color indexed="10"/>
      </font>
    </dxf>
    <dxf>
      <font>
        <condense val="0"/>
        <extend val="0"/>
        <color indexed="22"/>
      </font>
    </dxf>
    <dxf>
      <font>
        <b/>
        <i val="0"/>
        <condense val="0"/>
        <extend val="0"/>
        <color indexed="10"/>
      </font>
    </dxf>
    <dxf>
      <font>
        <condense val="0"/>
        <extend val="0"/>
        <color indexed="22"/>
      </font>
    </dxf>
    <dxf>
      <font>
        <b/>
        <i val="0"/>
        <condense val="0"/>
        <extend val="0"/>
        <color indexed="10"/>
      </font>
    </dxf>
    <dxf>
      <font>
        <condense val="0"/>
        <extend val="0"/>
        <color indexed="22"/>
      </font>
    </dxf>
    <dxf>
      <font>
        <b/>
        <i val="0"/>
        <condense val="0"/>
        <extend val="0"/>
        <color indexed="10"/>
      </font>
    </dxf>
    <dxf>
      <font>
        <condense val="0"/>
        <extend val="0"/>
        <color indexed="22"/>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2"/>
      </font>
    </dxf>
    <dxf>
      <font>
        <condense val="0"/>
        <extend val="0"/>
        <color indexed="22"/>
      </font>
    </dxf>
    <dxf>
      <font>
        <condense val="0"/>
        <extend val="0"/>
        <color indexed="22"/>
      </font>
    </dxf>
    <dxf>
      <font>
        <b/>
        <i val="0"/>
        <condense val="0"/>
        <extend val="0"/>
        <color indexed="48"/>
      </font>
    </dxf>
    <dxf>
      <font>
        <condense val="0"/>
        <extend val="0"/>
        <color indexed="22"/>
      </font>
    </dxf>
    <dxf>
      <font>
        <b/>
        <i val="0"/>
        <condense val="0"/>
        <extend val="0"/>
        <color indexed="10"/>
      </font>
    </dxf>
    <dxf>
      <font>
        <b/>
        <i val="0"/>
        <condense val="0"/>
        <extend val="0"/>
        <color indexed="10"/>
      </font>
    </dxf>
    <dxf>
      <font>
        <condense val="0"/>
        <extend val="0"/>
        <color indexed="22"/>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codeName="Sheet7">
    <pageSetUpPr fitToPage="1"/>
  </sheetPr>
  <dimension ref="A1:AR376"/>
  <sheetViews>
    <sheetView showGridLines="0" tabSelected="1" zoomScaleNormal="100" workbookViewId="0"/>
  </sheetViews>
  <sheetFormatPr defaultRowHeight="12.75"/>
  <cols>
    <col min="1" max="1" width="29.42578125" style="6" customWidth="1"/>
    <col min="2" max="2" width="18.85546875" style="6" customWidth="1"/>
    <col min="3" max="3" width="18.7109375" style="6" customWidth="1"/>
    <col min="4" max="4" width="19.28515625" style="6" customWidth="1"/>
    <col min="5" max="5" width="17" style="6" customWidth="1"/>
    <col min="6" max="6" width="19.7109375" style="6" customWidth="1"/>
    <col min="7" max="7" width="15" style="6" customWidth="1"/>
    <col min="8" max="8" width="19.140625" style="6" customWidth="1"/>
    <col min="9" max="9" width="20.5703125" style="6" customWidth="1"/>
    <col min="10" max="10" width="20.42578125" style="6" customWidth="1"/>
    <col min="11" max="11" width="17.85546875" style="6" customWidth="1"/>
    <col min="12" max="12" width="20.5703125" style="6" customWidth="1"/>
    <col min="13" max="13" width="21.42578125" style="6" customWidth="1"/>
    <col min="14" max="14" width="22.140625" style="6" customWidth="1"/>
    <col min="15" max="15" width="20.5703125" style="6" customWidth="1"/>
    <col min="16" max="16" width="17.85546875" style="6" customWidth="1"/>
    <col min="17" max="17" width="15.5703125" style="6" customWidth="1"/>
    <col min="18" max="19" width="13.7109375" style="6" customWidth="1"/>
    <col min="20" max="20" width="17.140625" style="6" customWidth="1"/>
    <col min="21" max="21" width="19.42578125" style="6" customWidth="1"/>
    <col min="22" max="22" width="13.28515625" style="6" customWidth="1"/>
    <col min="23" max="23" width="12" style="6" customWidth="1"/>
    <col min="24" max="24" width="9.140625" style="6"/>
    <col min="25" max="25" width="9.140625" style="148"/>
    <col min="26" max="26" width="9.140625" style="184"/>
    <col min="27" max="27" width="9.140625" style="280" hidden="1" customWidth="1"/>
    <col min="28" max="28" width="15.28515625" style="280" hidden="1" customWidth="1"/>
    <col min="29" max="29" width="12.7109375" style="280" hidden="1" customWidth="1"/>
    <col min="30" max="30" width="17.28515625" style="280" hidden="1" customWidth="1"/>
    <col min="31" max="34" width="12.7109375" style="280" hidden="1" customWidth="1"/>
    <col min="35" max="39" width="9.140625" style="280" hidden="1" customWidth="1"/>
    <col min="40" max="41" width="9.140625" style="150"/>
    <col min="42" max="42" width="9.140625" style="242"/>
    <col min="43" max="43" width="9.140625" style="244"/>
    <col min="44" max="44" width="9.140625" style="243"/>
    <col min="45" max="48" width="18.140625" style="6" customWidth="1"/>
    <col min="49" max="16384" width="9.140625" style="6"/>
  </cols>
  <sheetData>
    <row r="1" spans="1:26" ht="67.5" customHeight="1" thickTop="1" thickBot="1">
      <c r="A1" s="263" t="s">
        <v>11</v>
      </c>
      <c r="B1" s="100"/>
      <c r="C1" s="100"/>
      <c r="D1" s="278" t="s">
        <v>465</v>
      </c>
      <c r="E1" s="100"/>
      <c r="F1" s="100"/>
      <c r="G1" s="100" t="s">
        <v>12</v>
      </c>
      <c r="H1" s="264">
        <f ca="1">TODAY()</f>
        <v>40183</v>
      </c>
      <c r="I1" s="100"/>
      <c r="J1" s="100"/>
      <c r="K1" s="388" t="s">
        <v>436</v>
      </c>
      <c r="L1" s="389"/>
      <c r="M1" s="389"/>
      <c r="N1" s="390"/>
      <c r="O1" s="112"/>
      <c r="P1" s="112"/>
      <c r="Q1" s="112"/>
      <c r="R1" s="112"/>
      <c r="S1" s="112"/>
      <c r="T1" s="112"/>
      <c r="U1" s="112"/>
      <c r="V1" s="112"/>
      <c r="W1" s="112"/>
      <c r="X1" s="112"/>
      <c r="Y1" s="147"/>
      <c r="Z1" s="279"/>
    </row>
    <row r="2" spans="1:26" ht="16.5" thickTop="1">
      <c r="A2" s="413" t="s">
        <v>117</v>
      </c>
      <c r="B2" s="414"/>
      <c r="C2" s="414"/>
      <c r="D2" s="414"/>
      <c r="E2" s="414"/>
      <c r="F2" s="414"/>
      <c r="G2" s="47"/>
      <c r="H2" s="112"/>
      <c r="I2" s="112"/>
      <c r="J2" s="112"/>
      <c r="K2" s="112"/>
      <c r="L2" s="112"/>
      <c r="M2" s="112"/>
      <c r="N2" s="112"/>
      <c r="O2" s="112"/>
      <c r="P2" s="112"/>
      <c r="Q2" s="112"/>
      <c r="R2" s="112"/>
      <c r="S2" s="112"/>
      <c r="T2" s="112"/>
      <c r="U2" s="112"/>
      <c r="V2" s="112"/>
      <c r="W2" s="112"/>
      <c r="X2" s="112"/>
      <c r="Y2" s="147"/>
      <c r="Z2" s="279"/>
    </row>
    <row r="3" spans="1:26" ht="16.5" thickBot="1">
      <c r="A3" s="111" t="str">
        <f>IF($C$49=6,"Inventory Rating","Operating Rating")</f>
        <v>Inventory Rating</v>
      </c>
      <c r="B3" s="113"/>
      <c r="C3" s="106">
        <f>IF(A3="Inventory Rating",1,2)</f>
        <v>1</v>
      </c>
      <c r="D3" s="37"/>
      <c r="E3" s="37"/>
      <c r="F3" s="37"/>
      <c r="G3" s="55"/>
      <c r="H3" s="37"/>
      <c r="I3" s="37"/>
      <c r="J3" s="37"/>
      <c r="K3" s="112"/>
      <c r="L3" s="112"/>
      <c r="M3" s="112"/>
      <c r="N3" s="112"/>
      <c r="O3" s="112"/>
      <c r="P3" s="112"/>
      <c r="Q3" s="112"/>
      <c r="R3" s="112"/>
      <c r="S3" s="112"/>
      <c r="T3" s="112"/>
      <c r="U3" s="112"/>
      <c r="V3" s="112"/>
      <c r="W3" s="112"/>
      <c r="X3" s="112"/>
      <c r="Y3" s="147"/>
      <c r="Z3" s="279"/>
    </row>
    <row r="4" spans="1:26" ht="18.75" customHeight="1">
      <c r="A4" s="112"/>
      <c r="B4" s="112"/>
      <c r="C4" s="112"/>
      <c r="D4" s="112"/>
      <c r="E4" s="112"/>
      <c r="F4" s="112"/>
      <c r="G4" s="395" t="s">
        <v>406</v>
      </c>
      <c r="H4" s="396"/>
      <c r="I4" s="396"/>
      <c r="J4" s="397"/>
      <c r="K4" s="391" t="s">
        <v>416</v>
      </c>
      <c r="L4" s="392"/>
      <c r="M4" s="393" t="s">
        <v>405</v>
      </c>
      <c r="N4" s="394"/>
      <c r="O4" s="112"/>
      <c r="P4" s="112"/>
      <c r="Q4" s="112"/>
      <c r="R4" s="112"/>
      <c r="S4" s="112"/>
      <c r="T4" s="112"/>
      <c r="U4" s="112"/>
      <c r="V4" s="112"/>
      <c r="W4" s="112"/>
      <c r="X4" s="112"/>
      <c r="Y4" s="147"/>
      <c r="Z4" s="279"/>
    </row>
    <row r="5" spans="1:26">
      <c r="A5" s="90" t="s">
        <v>53</v>
      </c>
      <c r="B5" s="416"/>
      <c r="C5" s="418"/>
      <c r="D5" s="121"/>
      <c r="E5" s="121"/>
      <c r="F5" s="121"/>
      <c r="G5" s="398" t="s">
        <v>101</v>
      </c>
      <c r="H5" s="399"/>
      <c r="I5" s="399"/>
      <c r="J5" s="400"/>
      <c r="K5" s="235" t="s">
        <v>102</v>
      </c>
      <c r="L5" s="236" t="s">
        <v>404</v>
      </c>
      <c r="M5" s="255" t="s">
        <v>102</v>
      </c>
      <c r="N5" s="256" t="s">
        <v>404</v>
      </c>
      <c r="O5" s="112"/>
      <c r="P5" s="112"/>
      <c r="Q5" s="112"/>
      <c r="R5" s="112"/>
      <c r="S5" s="112"/>
      <c r="T5" s="112"/>
      <c r="U5" s="112"/>
      <c r="V5" s="112"/>
      <c r="W5" s="112"/>
      <c r="X5" s="112"/>
      <c r="Y5" s="147"/>
      <c r="Z5" s="279"/>
    </row>
    <row r="6" spans="1:26">
      <c r="A6" s="90" t="s">
        <v>0</v>
      </c>
      <c r="B6" s="417"/>
      <c r="C6" s="417"/>
      <c r="D6" s="417"/>
      <c r="E6" s="417"/>
      <c r="F6" s="417"/>
      <c r="G6" s="403" t="str">
        <f>$A$95</f>
        <v>1: Gusset Plate Minimum Edge Stiffness</v>
      </c>
      <c r="H6" s="404"/>
      <c r="I6" s="404"/>
      <c r="J6" s="405"/>
      <c r="K6" s="237" t="e">
        <f>$AC$95</f>
        <v>#N/A</v>
      </c>
      <c r="L6" s="238" t="str">
        <f>IF($AB$95=0,"N/A",$AB$95)</f>
        <v>N/A</v>
      </c>
      <c r="M6" s="257" t="e">
        <f>$AC$95</f>
        <v>#N/A</v>
      </c>
      <c r="N6" s="258" t="str">
        <f>L6</f>
        <v>N/A</v>
      </c>
      <c r="O6" s="112"/>
      <c r="P6" s="112"/>
      <c r="Q6" s="112"/>
      <c r="R6" s="112"/>
      <c r="S6" s="112"/>
      <c r="T6" s="112"/>
      <c r="U6" s="112"/>
      <c r="V6" s="112"/>
      <c r="W6" s="112"/>
      <c r="X6" s="112"/>
      <c r="Y6" s="147"/>
      <c r="Z6" s="279"/>
    </row>
    <row r="7" spans="1:26">
      <c r="A7" s="90" t="s">
        <v>7</v>
      </c>
      <c r="B7" s="416"/>
      <c r="C7" s="417"/>
      <c r="D7" s="417"/>
      <c r="E7" s="417"/>
      <c r="F7" s="417"/>
      <c r="G7" s="403" t="str">
        <f>$A$112</f>
        <v>2: Gusset Plate Local Compression Buckling Under Whitmore Effective Width</v>
      </c>
      <c r="H7" s="404"/>
      <c r="I7" s="404"/>
      <c r="J7" s="405"/>
      <c r="K7" s="237" t="e">
        <f>$AC$112</f>
        <v>#N/A</v>
      </c>
      <c r="L7" s="238" t="e">
        <f>IF($AB$112=0,"N/A",$AB$112)</f>
        <v>#N/A</v>
      </c>
      <c r="M7" s="257" t="e">
        <f t="shared" ref="M7:M13" si="0">IF(N7&lt;1,"NG","OK")</f>
        <v>#N/A</v>
      </c>
      <c r="N7" s="258" t="e">
        <f>IF($AA$112=0,"N/A",$AA$112)</f>
        <v>#N/A</v>
      </c>
      <c r="O7" s="112"/>
      <c r="P7" s="112"/>
      <c r="Q7" s="112"/>
      <c r="R7" s="112"/>
      <c r="S7" s="112"/>
      <c r="T7" s="112"/>
      <c r="U7" s="112"/>
      <c r="V7" s="112"/>
      <c r="W7" s="112"/>
      <c r="X7" s="112"/>
      <c r="Y7" s="147"/>
      <c r="Z7" s="279"/>
    </row>
    <row r="8" spans="1:26">
      <c r="A8" s="67"/>
      <c r="B8" s="415"/>
      <c r="C8" s="415"/>
      <c r="D8" s="415"/>
      <c r="E8" s="415"/>
      <c r="F8" s="415"/>
      <c r="G8" s="403" t="str">
        <f>$A$135</f>
        <v>3: Minimum Rivet Count Requirement</v>
      </c>
      <c r="H8" s="404"/>
      <c r="I8" s="404"/>
      <c r="J8" s="405"/>
      <c r="K8" s="237" t="e">
        <f>$AC$135</f>
        <v>#N/A</v>
      </c>
      <c r="L8" s="238" t="e">
        <f>IF($AB$135=0,"N/A",$AB$135)</f>
        <v>#N/A</v>
      </c>
      <c r="M8" s="257" t="e">
        <f t="shared" si="0"/>
        <v>#N/A</v>
      </c>
      <c r="N8" s="258" t="e">
        <f>IF($AA$135=0,"N/A",$AA$135)</f>
        <v>#N/A</v>
      </c>
      <c r="O8" s="112"/>
      <c r="P8" s="112"/>
      <c r="Q8" s="112"/>
      <c r="R8" s="112"/>
      <c r="S8" s="112"/>
      <c r="T8" s="112"/>
      <c r="U8" s="112"/>
      <c r="V8" s="112"/>
      <c r="W8" s="112"/>
      <c r="X8" s="112"/>
      <c r="Y8" s="147"/>
      <c r="Z8" s="279"/>
    </row>
    <row r="9" spans="1:26">
      <c r="A9" s="90" t="s">
        <v>6</v>
      </c>
      <c r="B9" s="416"/>
      <c r="C9" s="417"/>
      <c r="D9" s="417"/>
      <c r="E9" s="417"/>
      <c r="F9" s="417"/>
      <c r="G9" s="403" t="str">
        <f>$A$166</f>
        <v>4: Gusset Plate Local Tension Yield and Fracture</v>
      </c>
      <c r="H9" s="404"/>
      <c r="I9" s="404"/>
      <c r="J9" s="405"/>
      <c r="K9" s="237" t="e">
        <f>$AC$166</f>
        <v>#N/A</v>
      </c>
      <c r="L9" s="238" t="e">
        <f>IF($AB$166=0,"N/A",$AB$166)</f>
        <v>#N/A</v>
      </c>
      <c r="M9" s="257" t="e">
        <f t="shared" si="0"/>
        <v>#N/A</v>
      </c>
      <c r="N9" s="258" t="e">
        <f>IF($AA$166=0,"N/A",$AA$166)</f>
        <v>#N/A</v>
      </c>
      <c r="O9" s="112"/>
      <c r="P9" s="112"/>
      <c r="Q9" s="112"/>
      <c r="R9" s="112"/>
      <c r="S9" s="112"/>
      <c r="T9" s="112"/>
      <c r="U9" s="112"/>
      <c r="V9" s="112"/>
      <c r="W9" s="112"/>
      <c r="X9" s="112"/>
      <c r="Y9" s="147"/>
      <c r="Z9" s="279"/>
    </row>
    <row r="10" spans="1:26">
      <c r="A10" s="90" t="s">
        <v>5</v>
      </c>
      <c r="B10" s="416"/>
      <c r="C10" s="417"/>
      <c r="D10" s="417"/>
      <c r="E10" s="417"/>
      <c r="F10" s="417"/>
      <c r="G10" s="265" t="str">
        <f>$A$193</f>
        <v>5: Gusset Plate Axial Tension &amp; Shear Rupture Resistance (Block Shear)</v>
      </c>
      <c r="H10" s="266"/>
      <c r="I10" s="266"/>
      <c r="J10" s="267"/>
      <c r="K10" s="237" t="e">
        <f>$AC$193</f>
        <v>#N/A</v>
      </c>
      <c r="L10" s="238" t="e">
        <f>IF($AB$193=0,"N/A",$AB$193)</f>
        <v>#N/A</v>
      </c>
      <c r="M10" s="257" t="e">
        <f t="shared" si="0"/>
        <v>#N/A</v>
      </c>
      <c r="N10" s="258" t="e">
        <f>IF($AA$193=0,"N/A",$AA$193)</f>
        <v>#N/A</v>
      </c>
      <c r="O10" s="112"/>
      <c r="P10" s="112"/>
      <c r="Q10" s="112"/>
      <c r="R10" s="112"/>
      <c r="S10" s="112"/>
      <c r="T10" s="112"/>
      <c r="U10" s="112"/>
      <c r="V10" s="112"/>
      <c r="W10" s="112"/>
      <c r="X10" s="112"/>
      <c r="Y10" s="147"/>
      <c r="Z10" s="279"/>
    </row>
    <row r="11" spans="1:26">
      <c r="A11" s="90" t="s">
        <v>1</v>
      </c>
      <c r="B11" s="416"/>
      <c r="C11" s="417"/>
      <c r="D11" s="417"/>
      <c r="E11" s="417"/>
      <c r="F11" s="417"/>
      <c r="G11" s="419" t="str">
        <f>$A$230</f>
        <v>6: Members Tear Out (Block Shear)</v>
      </c>
      <c r="H11" s="420"/>
      <c r="I11" s="420"/>
      <c r="J11" s="421"/>
      <c r="K11" s="237" t="e">
        <f>$AC$230</f>
        <v>#N/A</v>
      </c>
      <c r="L11" s="238" t="e">
        <f>IF($AB$230=0,"N/A",$AB$230)</f>
        <v>#N/A</v>
      </c>
      <c r="M11" s="257" t="e">
        <f t="shared" si="0"/>
        <v>#N/A</v>
      </c>
      <c r="N11" s="258" t="e">
        <f>IF($AA$230=0,"N/A",$AA$230)</f>
        <v>#N/A</v>
      </c>
      <c r="O11" s="112"/>
      <c r="P11" s="112"/>
      <c r="Q11" s="112"/>
      <c r="R11" s="112"/>
      <c r="S11" s="112"/>
      <c r="T11" s="112"/>
      <c r="U11" s="112"/>
      <c r="V11" s="112"/>
      <c r="W11" s="112"/>
      <c r="X11" s="112"/>
      <c r="Y11" s="147"/>
      <c r="Z11" s="279"/>
    </row>
    <row r="12" spans="1:26">
      <c r="A12" s="90" t="s">
        <v>8</v>
      </c>
      <c r="B12" s="416"/>
      <c r="C12" s="417"/>
      <c r="D12" s="417"/>
      <c r="E12" s="417"/>
      <c r="F12" s="417"/>
      <c r="G12" s="419" t="str">
        <f>$A$254</f>
        <v>7: Gusset Plate Combined Planes Shear Rupture Resistance</v>
      </c>
      <c r="H12" s="420"/>
      <c r="I12" s="420"/>
      <c r="J12" s="421"/>
      <c r="K12" s="239" t="e">
        <f>$AC$254</f>
        <v>#N/A</v>
      </c>
      <c r="L12" s="238" t="e">
        <f>IF($AB$254=0,"N/A",$AB$254)</f>
        <v>#N/A</v>
      </c>
      <c r="M12" s="257" t="e">
        <f t="shared" si="0"/>
        <v>#N/A</v>
      </c>
      <c r="N12" s="258" t="e">
        <f>IF($AA$254=0,"N/A",$AA$254)</f>
        <v>#N/A</v>
      </c>
      <c r="O12" s="112"/>
      <c r="P12" s="112"/>
      <c r="Q12" s="112"/>
      <c r="R12" s="112"/>
      <c r="S12" s="112"/>
      <c r="T12" s="112"/>
      <c r="U12" s="112"/>
      <c r="V12" s="112"/>
      <c r="W12" s="112"/>
      <c r="X12" s="112"/>
      <c r="Y12" s="147"/>
      <c r="Z12" s="279"/>
    </row>
    <row r="13" spans="1:26" ht="13.5" thickBot="1">
      <c r="A13" s="90"/>
      <c r="B13" s="121"/>
      <c r="C13" s="121"/>
      <c r="D13" s="121"/>
      <c r="E13" s="121"/>
      <c r="F13" s="121"/>
      <c r="G13" s="422" t="str">
        <f>$A$341</f>
        <v>8: Gusset Plate Global Shear Yielding and Fracturing Requirement (Shear Only)</v>
      </c>
      <c r="H13" s="423"/>
      <c r="I13" s="423"/>
      <c r="J13" s="424"/>
      <c r="K13" s="240" t="e">
        <f>$AC$341</f>
        <v>#N/A</v>
      </c>
      <c r="L13" s="241" t="e">
        <f>IF($AB$341=0,"N/A",$AB$341)</f>
        <v>#N/A</v>
      </c>
      <c r="M13" s="269" t="e">
        <f t="shared" si="0"/>
        <v>#N/A</v>
      </c>
      <c r="N13" s="259" t="e">
        <f>IF($AA$341=0,"N/A",$AA$341)</f>
        <v>#N/A</v>
      </c>
      <c r="O13" s="112"/>
      <c r="P13" s="112"/>
      <c r="Q13" s="112"/>
      <c r="R13" s="112"/>
      <c r="S13" s="112"/>
      <c r="T13" s="112"/>
      <c r="U13" s="112"/>
      <c r="V13" s="112"/>
      <c r="W13" s="112"/>
      <c r="X13" s="112"/>
      <c r="Y13" s="147"/>
      <c r="Z13" s="279"/>
    </row>
    <row r="14" spans="1:26" ht="15">
      <c r="A14" s="90"/>
      <c r="B14" s="121"/>
      <c r="C14" s="121"/>
      <c r="D14" s="121"/>
      <c r="E14" s="121"/>
      <c r="F14" s="121"/>
      <c r="G14" s="270"/>
      <c r="H14" s="270"/>
      <c r="I14" s="270"/>
      <c r="J14" s="270"/>
      <c r="K14" s="271" t="s">
        <v>417</v>
      </c>
      <c r="L14" s="270"/>
      <c r="M14" s="272" t="s">
        <v>447</v>
      </c>
      <c r="N14" s="273" t="e">
        <f>IF(MIN(N7:N13)=0,"N/A",MIN(N7:N13))</f>
        <v>#N/A</v>
      </c>
      <c r="O14" s="112"/>
      <c r="P14" s="112"/>
      <c r="Q14" s="112"/>
      <c r="R14" s="112"/>
      <c r="S14" s="112"/>
      <c r="T14" s="112"/>
      <c r="U14" s="112"/>
      <c r="V14" s="112"/>
      <c r="W14" s="112"/>
      <c r="X14" s="112"/>
      <c r="Y14" s="147"/>
      <c r="Z14" s="279"/>
    </row>
    <row r="15" spans="1:26" ht="15">
      <c r="A15" s="90"/>
      <c r="B15" s="121"/>
      <c r="C15" s="121"/>
      <c r="D15" s="121"/>
      <c r="E15" s="121"/>
      <c r="F15" s="121"/>
      <c r="G15" s="163"/>
      <c r="H15" s="163"/>
      <c r="I15" s="163"/>
      <c r="J15" s="163"/>
      <c r="K15" s="254"/>
      <c r="L15" s="100"/>
      <c r="M15" s="112"/>
      <c r="N15" s="112"/>
      <c r="O15" s="112"/>
      <c r="P15" s="112"/>
      <c r="Q15" s="112"/>
      <c r="R15" s="112"/>
      <c r="S15" s="112"/>
      <c r="T15" s="112"/>
      <c r="U15" s="112"/>
      <c r="V15" s="112"/>
      <c r="W15" s="112"/>
      <c r="X15" s="112"/>
      <c r="Y15" s="147"/>
      <c r="Z15" s="279"/>
    </row>
    <row r="16" spans="1:26" ht="15">
      <c r="A16" s="67"/>
      <c r="B16" s="415"/>
      <c r="C16" s="415"/>
      <c r="D16" s="415"/>
      <c r="E16" s="415"/>
      <c r="F16" s="415"/>
      <c r="G16" s="163"/>
      <c r="H16" s="163"/>
      <c r="I16" s="163"/>
      <c r="J16" s="163"/>
      <c r="K16" s="163"/>
      <c r="L16" s="112"/>
      <c r="M16" s="112"/>
      <c r="N16" s="112"/>
      <c r="O16" s="112"/>
      <c r="P16" s="112"/>
      <c r="Q16" s="112"/>
      <c r="R16" s="112"/>
      <c r="S16" s="112"/>
      <c r="T16" s="112"/>
      <c r="U16" s="112"/>
      <c r="V16" s="112"/>
      <c r="W16" s="112"/>
      <c r="X16" s="112"/>
      <c r="Y16" s="147"/>
      <c r="Z16" s="279"/>
    </row>
    <row r="17" spans="1:44" ht="15">
      <c r="A17" s="90" t="s">
        <v>3</v>
      </c>
      <c r="B17" s="416"/>
      <c r="C17" s="417"/>
      <c r="D17" s="417"/>
      <c r="E17" s="417"/>
      <c r="F17" s="417"/>
      <c r="G17" s="163"/>
      <c r="H17" s="163"/>
      <c r="I17" s="163"/>
      <c r="J17" s="163"/>
      <c r="K17" s="56"/>
      <c r="L17" s="112"/>
      <c r="M17" s="56"/>
      <c r="N17" s="112"/>
      <c r="O17" s="112"/>
      <c r="P17" s="112"/>
      <c r="Q17" s="112"/>
      <c r="R17" s="112"/>
      <c r="S17" s="112"/>
      <c r="T17" s="112"/>
      <c r="U17" s="112"/>
      <c r="V17" s="112"/>
      <c r="W17" s="112"/>
      <c r="X17" s="112"/>
      <c r="Y17" s="147"/>
      <c r="Z17" s="279"/>
    </row>
    <row r="18" spans="1:44" ht="15">
      <c r="A18" s="90" t="s">
        <v>2</v>
      </c>
      <c r="B18" s="416"/>
      <c r="C18" s="417"/>
      <c r="D18" s="417"/>
      <c r="E18" s="417"/>
      <c r="F18" s="417"/>
      <c r="G18" s="163"/>
      <c r="H18" s="164"/>
      <c r="I18" s="165"/>
      <c r="J18" s="164"/>
      <c r="K18" s="112"/>
      <c r="L18" s="112"/>
      <c r="M18" s="112"/>
      <c r="N18" s="112"/>
      <c r="O18" s="112"/>
      <c r="P18" s="112"/>
      <c r="Q18" s="112"/>
      <c r="R18" s="112"/>
      <c r="S18" s="112"/>
      <c r="T18" s="112"/>
      <c r="U18" s="112"/>
      <c r="V18" s="112"/>
      <c r="W18" s="112"/>
      <c r="X18" s="112"/>
      <c r="Y18" s="147"/>
      <c r="Z18" s="279"/>
    </row>
    <row r="19" spans="1:44" ht="15">
      <c r="A19" s="90" t="s">
        <v>132</v>
      </c>
      <c r="B19" s="416"/>
      <c r="C19" s="417"/>
      <c r="D19" s="417"/>
      <c r="E19" s="417"/>
      <c r="F19" s="417"/>
      <c r="G19" s="163" t="s">
        <v>103</v>
      </c>
      <c r="H19" s="164"/>
      <c r="I19" s="166" t="str">
        <f>$B$49</f>
        <v>HS20-44</v>
      </c>
      <c r="J19" s="260" t="str">
        <f>CONCATENATE(" (",A3,")")</f>
        <v xml:space="preserve"> (Inventory Rating)</v>
      </c>
      <c r="K19" s="112"/>
      <c r="L19" s="112"/>
      <c r="M19" s="112"/>
      <c r="N19" s="112"/>
      <c r="O19" s="112"/>
      <c r="P19" s="112"/>
      <c r="Q19" s="112"/>
      <c r="R19" s="112"/>
      <c r="S19" s="112"/>
      <c r="T19" s="112"/>
      <c r="U19" s="112"/>
      <c r="V19" s="112"/>
      <c r="W19" s="112"/>
      <c r="X19" s="112"/>
      <c r="Y19" s="147"/>
      <c r="Z19" s="279"/>
    </row>
    <row r="20" spans="1:44" ht="15">
      <c r="A20" s="90" t="s">
        <v>208</v>
      </c>
      <c r="B20" s="160"/>
      <c r="C20" s="142" t="s">
        <v>13</v>
      </c>
      <c r="D20" s="120"/>
      <c r="E20" s="120"/>
      <c r="F20" s="120"/>
      <c r="G20" s="163"/>
      <c r="H20" s="164"/>
      <c r="I20" s="165"/>
      <c r="J20" s="164"/>
      <c r="K20" s="112"/>
      <c r="L20" s="112"/>
      <c r="M20" s="112"/>
      <c r="N20" s="112"/>
      <c r="O20" s="112"/>
      <c r="P20" s="112"/>
      <c r="Q20" s="112"/>
      <c r="R20" s="112"/>
      <c r="S20" s="112"/>
      <c r="T20" s="112"/>
      <c r="U20" s="112"/>
      <c r="V20" s="112"/>
      <c r="W20" s="112"/>
      <c r="X20" s="112"/>
      <c r="Y20" s="147"/>
      <c r="Z20" s="279"/>
    </row>
    <row r="21" spans="1:44" ht="15">
      <c r="A21" s="90" t="s">
        <v>209</v>
      </c>
      <c r="B21" s="160"/>
      <c r="C21" s="142" t="s">
        <v>13</v>
      </c>
      <c r="D21" s="120"/>
      <c r="E21" s="120"/>
      <c r="F21" s="120"/>
      <c r="G21" s="163" t="s">
        <v>104</v>
      </c>
      <c r="H21" s="164"/>
      <c r="I21" s="166" t="s">
        <v>137</v>
      </c>
      <c r="J21" s="167">
        <f>$C$41</f>
        <v>10</v>
      </c>
      <c r="K21" s="95" t="e">
        <f>B41</f>
        <v>#N/A</v>
      </c>
      <c r="L21" s="112"/>
      <c r="M21" s="112"/>
      <c r="N21" s="112"/>
      <c r="O21" s="112"/>
      <c r="P21" s="112"/>
      <c r="Q21" s="112"/>
      <c r="R21" s="112"/>
      <c r="S21" s="112"/>
      <c r="T21" s="112"/>
      <c r="U21" s="112"/>
      <c r="V21" s="112"/>
      <c r="W21" s="112"/>
      <c r="X21" s="112"/>
      <c r="Y21" s="147"/>
      <c r="Z21" s="279"/>
    </row>
    <row r="22" spans="1:44">
      <c r="A22" s="90" t="s">
        <v>210</v>
      </c>
      <c r="B22" s="160">
        <v>29000000</v>
      </c>
      <c r="C22" s="142" t="s">
        <v>13</v>
      </c>
      <c r="D22" s="120"/>
      <c r="E22" s="120"/>
      <c r="F22" s="120"/>
      <c r="G22" s="168"/>
      <c r="H22" s="164"/>
      <c r="I22" s="165" t="s">
        <v>174</v>
      </c>
      <c r="J22" s="169" t="e">
        <f>$D$81+$F$81</f>
        <v>#N/A</v>
      </c>
      <c r="K22" s="112"/>
      <c r="L22" s="112"/>
      <c r="M22" s="112"/>
      <c r="N22" s="112"/>
      <c r="O22" s="112"/>
      <c r="P22" s="112"/>
      <c r="Q22" s="112"/>
      <c r="R22" s="112"/>
      <c r="S22" s="112"/>
      <c r="T22" s="112"/>
      <c r="U22" s="112"/>
      <c r="V22" s="112"/>
      <c r="W22" s="112"/>
      <c r="X22" s="112"/>
      <c r="Y22" s="147"/>
      <c r="Z22" s="279"/>
    </row>
    <row r="23" spans="1:44">
      <c r="A23" s="90" t="s">
        <v>140</v>
      </c>
      <c r="B23" s="161">
        <f>7/8</f>
        <v>0.875</v>
      </c>
      <c r="C23" s="143" t="s">
        <v>207</v>
      </c>
      <c r="D23" s="118">
        <f>IF(B23&lt;=1.25,0.15,0)</f>
        <v>0.15</v>
      </c>
      <c r="E23" s="117" t="s">
        <v>202</v>
      </c>
      <c r="F23" s="113"/>
      <c r="G23" s="164"/>
      <c r="H23" s="164"/>
      <c r="I23" s="165"/>
      <c r="J23" s="164"/>
      <c r="K23" s="112"/>
      <c r="L23" s="112"/>
      <c r="M23" s="112"/>
      <c r="N23" s="112"/>
      <c r="O23" s="112"/>
      <c r="P23" s="112"/>
      <c r="Q23" s="112"/>
      <c r="R23" s="112"/>
      <c r="S23" s="112"/>
      <c r="T23" s="112"/>
      <c r="U23" s="112"/>
      <c r="V23" s="112"/>
      <c r="W23" s="112"/>
      <c r="X23" s="112"/>
      <c r="Y23" s="147"/>
      <c r="Z23" s="279"/>
    </row>
    <row r="24" spans="1:44" ht="25.5">
      <c r="A24" s="90" t="s">
        <v>206</v>
      </c>
      <c r="B24" s="162">
        <f>B20</f>
        <v>0</v>
      </c>
      <c r="C24" s="144" t="s">
        <v>200</v>
      </c>
      <c r="D24" s="113"/>
      <c r="E24" s="113"/>
      <c r="F24" s="113"/>
      <c r="G24" s="170" t="s">
        <v>109</v>
      </c>
      <c r="H24" s="171"/>
      <c r="I24" s="172">
        <f>$E$49</f>
        <v>100</v>
      </c>
      <c r="J24" s="173" t="s">
        <v>110</v>
      </c>
      <c r="K24" s="112"/>
      <c r="L24" s="112"/>
      <c r="M24" s="112"/>
      <c r="N24" s="112"/>
      <c r="O24" s="112"/>
      <c r="P24" s="112"/>
      <c r="Q24" s="112"/>
      <c r="R24" s="112"/>
      <c r="S24" s="112"/>
      <c r="T24" s="112"/>
      <c r="U24" s="112"/>
      <c r="V24" s="112"/>
      <c r="W24" s="112"/>
      <c r="X24" s="112"/>
      <c r="Y24" s="147"/>
      <c r="Z24" s="279"/>
    </row>
    <row r="25" spans="1:44" customFormat="1">
      <c r="B25" s="122"/>
      <c r="C25" s="122"/>
      <c r="G25" s="122"/>
      <c r="H25" s="122"/>
      <c r="I25" s="122"/>
      <c r="J25" s="122"/>
      <c r="Y25" s="147"/>
      <c r="Z25" s="184"/>
      <c r="AA25" s="280"/>
      <c r="AB25" s="280"/>
      <c r="AC25" s="280"/>
      <c r="AD25" s="280"/>
      <c r="AE25" s="280"/>
      <c r="AF25" s="280"/>
      <c r="AG25" s="280"/>
      <c r="AH25" s="280"/>
      <c r="AI25" s="280"/>
      <c r="AJ25" s="280"/>
      <c r="AK25" s="280"/>
      <c r="AL25" s="280"/>
      <c r="AM25" s="280"/>
      <c r="AN25" s="150"/>
      <c r="AO25" s="150"/>
      <c r="AP25" s="242"/>
      <c r="AQ25" s="243"/>
      <c r="AR25" s="243"/>
    </row>
    <row r="26" spans="1:44">
      <c r="A26" s="4" t="s">
        <v>201</v>
      </c>
      <c r="B26" s="123">
        <v>1.2</v>
      </c>
      <c r="C26" s="429" t="s">
        <v>211</v>
      </c>
      <c r="D26" s="113"/>
      <c r="E26" s="113"/>
      <c r="F26" s="113"/>
      <c r="G26" s="104" t="s">
        <v>203</v>
      </c>
      <c r="H26" s="46"/>
      <c r="I26" s="46"/>
      <c r="J26" s="46"/>
      <c r="K26" s="46"/>
      <c r="L26" s="112"/>
      <c r="M26" s="112"/>
      <c r="N26" s="112"/>
      <c r="O26" s="112"/>
      <c r="P26" s="112"/>
      <c r="Q26" s="112"/>
      <c r="R26" s="112"/>
      <c r="S26" s="112"/>
      <c r="T26" s="112"/>
      <c r="U26" s="112"/>
      <c r="V26" s="112"/>
      <c r="W26" s="112"/>
      <c r="X26" s="112"/>
      <c r="Y26" s="147"/>
      <c r="Z26" s="279"/>
    </row>
    <row r="27" spans="1:44">
      <c r="A27" s="90"/>
      <c r="B27" s="123">
        <v>0.74</v>
      </c>
      <c r="C27" s="430"/>
      <c r="D27" s="113"/>
      <c r="E27" s="99"/>
      <c r="F27" s="113"/>
      <c r="G27" s="112"/>
      <c r="H27" s="112"/>
      <c r="I27" s="112"/>
      <c r="J27" s="112"/>
      <c r="K27" s="112"/>
      <c r="L27" s="112"/>
      <c r="M27" s="112"/>
      <c r="N27" s="112"/>
      <c r="O27" s="112"/>
      <c r="P27" s="112"/>
      <c r="Q27" s="112"/>
      <c r="R27" s="112"/>
      <c r="S27" s="112"/>
      <c r="T27" s="112"/>
      <c r="U27" s="112"/>
      <c r="V27" s="112"/>
      <c r="W27" s="112"/>
      <c r="X27" s="112"/>
      <c r="Y27" s="147"/>
      <c r="Z27" s="279"/>
    </row>
    <row r="28" spans="1:44">
      <c r="A28" s="90"/>
      <c r="B28" s="123">
        <v>0.85</v>
      </c>
      <c r="C28" s="430"/>
      <c r="D28" s="113"/>
      <c r="E28" s="113"/>
      <c r="F28" s="113"/>
      <c r="G28" s="112"/>
      <c r="H28" s="112"/>
      <c r="I28" s="112"/>
      <c r="J28" s="112"/>
      <c r="K28" s="112"/>
      <c r="L28" s="112"/>
      <c r="M28" s="112"/>
      <c r="N28" s="112"/>
      <c r="O28" s="112"/>
      <c r="P28" s="112"/>
      <c r="Q28" s="112"/>
      <c r="R28" s="112"/>
      <c r="S28" s="112"/>
      <c r="T28" s="112"/>
      <c r="U28" s="112"/>
      <c r="V28" s="112"/>
      <c r="W28" s="112"/>
      <c r="X28" s="112"/>
      <c r="Y28" s="147"/>
      <c r="Z28" s="279"/>
    </row>
    <row r="29" spans="1:44" ht="18">
      <c r="A29" s="90"/>
      <c r="B29" s="90"/>
      <c r="C29" s="113"/>
      <c r="D29" s="113"/>
      <c r="E29" s="113"/>
      <c r="F29" s="113"/>
      <c r="G29" s="119"/>
      <c r="H29" s="100"/>
      <c r="I29" s="195">
        <v>1</v>
      </c>
      <c r="J29" s="112"/>
      <c r="K29" s="112"/>
      <c r="L29" s="112"/>
      <c r="M29" s="112"/>
      <c r="N29" s="112"/>
      <c r="O29" s="112"/>
      <c r="P29" s="112"/>
      <c r="Q29" s="112"/>
      <c r="R29" s="112"/>
      <c r="S29" s="112"/>
      <c r="T29" s="112"/>
      <c r="U29" s="112"/>
      <c r="V29" s="112"/>
      <c r="W29" s="112"/>
      <c r="X29" s="112"/>
      <c r="Y29" s="147"/>
      <c r="Z29" s="279"/>
    </row>
    <row r="30" spans="1:44">
      <c r="A30" s="90" t="s">
        <v>16</v>
      </c>
      <c r="B30" s="38" t="str">
        <f>IF(B20=0,"",SQRT(2*(PI())^2*B22/B20))</f>
        <v/>
      </c>
      <c r="C30" s="113"/>
      <c r="D30" s="113"/>
      <c r="E30" s="113"/>
      <c r="F30" s="113"/>
      <c r="G30" s="112">
        <v>3</v>
      </c>
      <c r="H30" s="274" t="s">
        <v>244</v>
      </c>
      <c r="I30" s="192" t="str">
        <f>IF(I29=1,"1- Connector Fy Shown Above",IF(I29=2,"2- Low Carbon Steel Bolts ASTM A-307 &amp; Ribbed Bolts",IF(I29=3,"3- Power Driven Rivets ASTM A-502 Grade 1 or ASTM A-141",IF(I29=4,"4- Structural Steel Rivets High Dtrength ASTM A-502 Grade 2",IF(I29=5,"5- Unknown Rivet Type","Error")))))</f>
        <v>1- Connector Fy Shown Above</v>
      </c>
      <c r="J30" s="112"/>
      <c r="K30" s="112"/>
      <c r="L30" s="112"/>
      <c r="M30" s="112"/>
      <c r="N30" s="112"/>
      <c r="O30" s="112"/>
      <c r="P30" s="112"/>
      <c r="Q30" s="112"/>
      <c r="R30" s="112"/>
      <c r="S30" s="112"/>
      <c r="T30" s="112"/>
      <c r="U30" s="112"/>
      <c r="V30" s="112"/>
      <c r="W30" s="112"/>
      <c r="X30" s="112"/>
      <c r="Y30" s="147"/>
      <c r="Z30" s="279"/>
    </row>
    <row r="31" spans="1:44">
      <c r="A31" s="90" t="s">
        <v>18</v>
      </c>
      <c r="B31" s="39">
        <f>IF(C3=1,2.12,IF(C3=2,1.7,"Check Factor of Safety"))</f>
        <v>2.12</v>
      </c>
      <c r="C31" s="113" t="str">
        <f>"For "&amp;A3</f>
        <v>For Inventory Rating</v>
      </c>
      <c r="D31" s="113"/>
      <c r="E31" s="113"/>
      <c r="F31" s="113"/>
      <c r="G31" s="112"/>
      <c r="H31" s="192"/>
      <c r="I31" s="112"/>
      <c r="J31" s="112"/>
      <c r="K31" s="112"/>
      <c r="L31" s="112"/>
      <c r="M31" s="112"/>
      <c r="N31" s="112"/>
      <c r="O31" s="112"/>
      <c r="P31" s="112"/>
      <c r="Q31" s="112"/>
      <c r="R31" s="112"/>
      <c r="S31" s="112"/>
      <c r="T31" s="112"/>
      <c r="U31" s="112"/>
      <c r="V31" s="112"/>
      <c r="W31" s="112"/>
      <c r="X31" s="112"/>
      <c r="Y31" s="147"/>
      <c r="Z31" s="279"/>
    </row>
    <row r="32" spans="1:44">
      <c r="A32" s="112"/>
      <c r="B32" s="112"/>
      <c r="C32" s="112"/>
      <c r="D32" s="112"/>
      <c r="E32" s="112"/>
      <c r="F32" s="112"/>
      <c r="G32" s="112"/>
      <c r="H32" s="112"/>
      <c r="I32" s="112"/>
      <c r="J32" s="112"/>
      <c r="K32" s="112"/>
      <c r="L32" s="112"/>
      <c r="M32" s="112"/>
      <c r="N32" s="112"/>
      <c r="O32" s="112"/>
      <c r="P32" s="112"/>
      <c r="Q32" s="112"/>
      <c r="R32" s="112"/>
      <c r="S32" s="112"/>
      <c r="T32" s="112"/>
      <c r="U32" s="112"/>
      <c r="V32" s="112"/>
      <c r="W32" s="112"/>
      <c r="X32" s="112"/>
      <c r="Y32" s="147"/>
      <c r="Z32" s="279"/>
    </row>
    <row r="33" spans="1:43" ht="28.5" customHeight="1">
      <c r="A33" s="431" t="s">
        <v>54</v>
      </c>
      <c r="B33" s="432"/>
      <c r="C33" s="431" t="s">
        <v>55</v>
      </c>
      <c r="D33" s="432"/>
      <c r="E33" s="431" t="s">
        <v>56</v>
      </c>
      <c r="F33" s="432"/>
      <c r="G33" s="401" t="s">
        <v>70</v>
      </c>
      <c r="H33" s="401" t="s">
        <v>212</v>
      </c>
      <c r="I33" s="401" t="s">
        <v>213</v>
      </c>
      <c r="J33" s="112"/>
      <c r="K33" s="184"/>
      <c r="L33" s="112"/>
      <c r="M33" s="112"/>
      <c r="N33" s="112"/>
      <c r="O33" s="112"/>
      <c r="P33" s="112"/>
      <c r="Q33" s="112"/>
      <c r="R33" s="112"/>
      <c r="S33" s="112"/>
      <c r="T33" s="112"/>
      <c r="U33" s="112"/>
      <c r="V33" s="112"/>
      <c r="W33" s="112"/>
      <c r="X33" s="112"/>
      <c r="Y33" s="147"/>
      <c r="Z33" s="279"/>
    </row>
    <row r="34" spans="1:43" ht="38.25" customHeight="1">
      <c r="A34" s="5" t="s">
        <v>14</v>
      </c>
      <c r="B34" s="5" t="s">
        <v>15</v>
      </c>
      <c r="C34" s="5" t="s">
        <v>14</v>
      </c>
      <c r="D34" s="5" t="s">
        <v>17</v>
      </c>
      <c r="E34" s="5" t="s">
        <v>43</v>
      </c>
      <c r="F34" s="5" t="s">
        <v>42</v>
      </c>
      <c r="G34" s="402"/>
      <c r="H34" s="402"/>
      <c r="I34" s="402"/>
      <c r="J34" s="112"/>
      <c r="K34" s="184"/>
      <c r="L34" s="112"/>
      <c r="M34" s="112"/>
      <c r="N34" s="112"/>
      <c r="O34" s="112"/>
      <c r="P34" s="112"/>
      <c r="Q34" s="112"/>
      <c r="R34" s="112"/>
      <c r="S34" s="112"/>
      <c r="T34" s="112"/>
      <c r="U34" s="112"/>
      <c r="V34" s="112"/>
      <c r="W34" s="112"/>
      <c r="X34" s="112"/>
      <c r="Y34" s="147"/>
      <c r="Z34" s="279"/>
    </row>
    <row r="35" spans="1:43" ht="23.25" customHeight="1">
      <c r="A35" s="27">
        <f>IF($C$3=1,0.55*$B$20,IF($C$3=2, 0.75*$B$20,"Error"))</f>
        <v>0</v>
      </c>
      <c r="B35" s="27">
        <f>IF($C$3=1,0.5*$B$21,IF($C$3=2, 0.67*$B$21,"Error"))</f>
        <v>0</v>
      </c>
      <c r="C35" s="27">
        <f>IF($C$3=1,0.55*$B$20,IF($C$3=2, 0.75*$B$20,"Error"))</f>
        <v>0</v>
      </c>
      <c r="D35" s="28" t="s">
        <v>41</v>
      </c>
      <c r="E35" s="27">
        <f>IF($C$3=1,0.33*$B$20,IF($C$3=2, 0.45*$B$20,"Error"))</f>
        <v>0</v>
      </c>
      <c r="F35" s="27">
        <f>IF($C$3=1,0.5*$B$21,IF($C$3=2, 0.67*$B$21,"Error"))</f>
        <v>0</v>
      </c>
      <c r="G35" s="27">
        <f>IF($C$3=1,0.8*$B$20,IF($C$3=2, 0.9*$B$20,"Error"))</f>
        <v>0</v>
      </c>
      <c r="H35" s="27">
        <f>IF(I29=1,IF($C$3=1,0.4*$B$24,IF($C$3=2,0.55*$B$24,"Error")),IF(I29=2,IF($C$3=1,11000,IF($C$3=2,15000,"Error")),IF(I29=3,IF($C$3=1,13500,IF($C$3=2,18000,"Error")),IF(I29=4,IF($C$3=1,20000,IF($C$3=2,27000,"Error")),IF(I29=5,IF($C$3=1,13500,IF($C$3=2,18000,"Error")),0)))))</f>
        <v>0</v>
      </c>
      <c r="I35" s="27">
        <f>IF(I29=1,IF($C$3=1,0.8*$B$24,IF($C$3=2,0.9*$B$24,"Error")),IF(I29=2,IF($C$3=1,20000,IF($C$3=2,27000,"Error")),IF(I29=3,IF($C$3=1,40000,IF($C$3=2,54500,"Error")),IF(I29=4,IF($C$3=1,40000,IF($C$3=2,54500,"Error")),IF(I29=5,IF($C$3=1,40000,IF($C$3=2,54500,"Error")),0)))))</f>
        <v>0</v>
      </c>
      <c r="J35" s="112"/>
      <c r="K35" s="184"/>
      <c r="L35" s="112"/>
      <c r="M35" s="112"/>
      <c r="N35" s="112"/>
      <c r="O35" s="112"/>
      <c r="P35" s="112"/>
      <c r="Q35" s="112"/>
      <c r="R35" s="112"/>
      <c r="S35" s="112"/>
      <c r="T35" s="112"/>
      <c r="U35" s="112"/>
      <c r="V35" s="112"/>
      <c r="W35" s="112"/>
      <c r="X35" s="112"/>
      <c r="Y35" s="147"/>
      <c r="Z35" s="279"/>
    </row>
    <row r="36" spans="1:43">
      <c r="A36" s="112"/>
      <c r="B36" s="112"/>
      <c r="C36" s="112"/>
      <c r="D36" s="112"/>
      <c r="E36" s="112"/>
      <c r="F36" s="112"/>
      <c r="G36" s="112"/>
      <c r="H36" s="112"/>
      <c r="I36" s="112"/>
      <c r="J36" s="112"/>
      <c r="K36" s="184"/>
      <c r="L36" s="112"/>
      <c r="M36" s="112"/>
      <c r="N36" s="112"/>
      <c r="O36" s="112"/>
      <c r="P36" s="112"/>
      <c r="Q36" s="112"/>
      <c r="R36" s="112"/>
      <c r="S36" s="112"/>
      <c r="T36" s="112"/>
      <c r="U36" s="112"/>
      <c r="V36" s="112"/>
      <c r="W36" s="112"/>
      <c r="X36" s="112"/>
      <c r="Y36" s="147"/>
      <c r="Z36" s="279"/>
    </row>
    <row r="37" spans="1:43">
      <c r="A37" s="112"/>
      <c r="B37" s="112"/>
      <c r="C37" s="112"/>
      <c r="D37" s="112"/>
      <c r="E37" s="112"/>
      <c r="F37" s="112"/>
      <c r="G37" s="112"/>
      <c r="H37" s="112"/>
      <c r="I37" s="112"/>
      <c r="J37" s="112"/>
      <c r="K37" s="184"/>
      <c r="L37" s="112"/>
      <c r="M37" s="112"/>
      <c r="N37" s="112"/>
      <c r="O37" s="112"/>
      <c r="P37" s="112"/>
      <c r="Q37" s="112"/>
      <c r="R37" s="112"/>
      <c r="S37" s="112"/>
      <c r="T37" s="112"/>
      <c r="U37" s="112"/>
      <c r="V37" s="112"/>
      <c r="W37" s="112"/>
      <c r="X37" s="112"/>
      <c r="Y37" s="147"/>
      <c r="Z37" s="279"/>
    </row>
    <row r="38" spans="1:43">
      <c r="A38" s="113"/>
      <c r="B38" s="113"/>
      <c r="C38" s="112"/>
      <c r="D38" s="112"/>
      <c r="E38" s="112"/>
      <c r="F38" s="112"/>
      <c r="G38" s="112"/>
      <c r="H38" s="112"/>
      <c r="I38" s="112"/>
      <c r="J38" s="112"/>
      <c r="K38" s="112"/>
      <c r="L38" s="112"/>
      <c r="M38" s="112"/>
      <c r="N38" s="112"/>
      <c r="O38" s="112"/>
      <c r="P38" s="112"/>
      <c r="Q38" s="112"/>
      <c r="R38" s="112"/>
      <c r="S38" s="112"/>
      <c r="T38" s="112"/>
      <c r="U38" s="112"/>
      <c r="V38" s="112"/>
      <c r="W38" s="112"/>
      <c r="X38" s="112"/>
      <c r="Y38" s="147"/>
      <c r="Z38" s="279"/>
    </row>
    <row r="39" spans="1:43">
      <c r="A39" s="113"/>
      <c r="B39" s="113"/>
      <c r="C39" s="112"/>
      <c r="D39" s="112"/>
      <c r="E39" s="112"/>
      <c r="F39" s="112"/>
      <c r="G39" s="112"/>
      <c r="H39" s="112"/>
      <c r="I39" s="112"/>
      <c r="J39" s="112"/>
      <c r="K39" s="112"/>
      <c r="L39" s="112"/>
      <c r="M39" s="112"/>
      <c r="N39" s="112"/>
      <c r="O39" s="112"/>
      <c r="P39" s="112"/>
      <c r="Q39" s="112"/>
      <c r="R39" s="112"/>
      <c r="S39" s="112"/>
      <c r="T39" s="112"/>
      <c r="U39" s="112"/>
      <c r="V39" s="112"/>
      <c r="W39" s="112"/>
      <c r="X39" s="112"/>
      <c r="Y39" s="147"/>
      <c r="Z39" s="279"/>
    </row>
    <row r="40" spans="1:43" ht="21.75" customHeight="1">
      <c r="A40" s="91"/>
      <c r="B40" s="112"/>
      <c r="C40" s="100"/>
      <c r="D40" s="112"/>
      <c r="E40" s="112"/>
      <c r="F40" s="112"/>
      <c r="G40" s="112"/>
      <c r="H40" s="112"/>
      <c r="I40" s="112"/>
      <c r="J40" s="112"/>
      <c r="K40" s="112"/>
      <c r="L40" s="112"/>
      <c r="M40" s="112"/>
      <c r="N40" s="112"/>
      <c r="O40" s="112"/>
      <c r="P40" s="112"/>
      <c r="Q40" s="112"/>
      <c r="R40" s="112"/>
      <c r="S40" s="112"/>
      <c r="T40" s="112"/>
      <c r="U40" s="112"/>
      <c r="V40" s="112"/>
      <c r="W40" s="112"/>
      <c r="X40" s="112"/>
      <c r="Y40" s="147"/>
      <c r="Z40" s="279"/>
      <c r="AQ40" s="245"/>
    </row>
    <row r="41" spans="1:43" ht="21" customHeight="1">
      <c r="A41" s="92" t="s">
        <v>19</v>
      </c>
      <c r="B41" s="174" t="e">
        <f>LOOKUP($C$41,'Info Tables'!A19:A50,'Info Tables'!B19:B50)</f>
        <v>#N/A</v>
      </c>
      <c r="C41" s="175">
        <v>10</v>
      </c>
      <c r="D41" s="86" t="s">
        <v>137</v>
      </c>
      <c r="E41" s="87">
        <f>$C$41</f>
        <v>10</v>
      </c>
      <c r="F41" s="116"/>
      <c r="G41" s="116"/>
      <c r="H41" s="112"/>
      <c r="I41" s="112"/>
      <c r="J41" s="112"/>
      <c r="K41" s="112"/>
      <c r="L41" s="112"/>
      <c r="M41" s="112"/>
      <c r="N41" s="112"/>
      <c r="O41" s="112"/>
      <c r="P41" s="112"/>
      <c r="Q41" s="112"/>
      <c r="R41" s="112"/>
      <c r="S41" s="112"/>
      <c r="T41" s="112"/>
      <c r="U41" s="112"/>
      <c r="V41" s="112"/>
      <c r="W41" s="112"/>
      <c r="X41" s="112"/>
      <c r="Y41" s="147"/>
      <c r="Z41" s="279"/>
      <c r="AQ41" s="245"/>
    </row>
    <row r="42" spans="1:43" ht="33" customHeight="1">
      <c r="A42" s="107" t="s">
        <v>119</v>
      </c>
      <c r="B42" s="58" t="e">
        <f>(LOOKUP($C$41,'Info Tables'!A19:A58,'Info Tables'!D19:D58))</f>
        <v>#N/A</v>
      </c>
      <c r="C42" s="115" t="s">
        <v>44</v>
      </c>
      <c r="D42" s="115"/>
      <c r="E42" s="115"/>
      <c r="F42" s="116"/>
      <c r="G42" s="116"/>
      <c r="H42" s="112"/>
      <c r="I42" s="112"/>
      <c r="J42" s="112"/>
      <c r="K42" s="112"/>
      <c r="L42" s="112"/>
      <c r="M42" s="112"/>
      <c r="N42" s="112"/>
      <c r="O42" s="112"/>
      <c r="P42" s="112"/>
      <c r="Q42" s="112"/>
      <c r="R42" s="112"/>
      <c r="S42" s="112"/>
      <c r="T42" s="112"/>
      <c r="U42" s="112"/>
      <c r="V42" s="112"/>
      <c r="W42" s="112"/>
      <c r="X42" s="112"/>
      <c r="Y42" s="147"/>
      <c r="Z42" s="279"/>
      <c r="AQ42" s="246"/>
    </row>
    <row r="43" spans="1:43" ht="21" customHeight="1">
      <c r="A43" s="107" t="s">
        <v>215</v>
      </c>
      <c r="B43" s="108" t="e">
        <f>(LOOKUP($C$41,'Info Tables'!A19:A58,'Info Tables'!P19:P58))</f>
        <v>#N/A</v>
      </c>
      <c r="C43" s="115" t="s">
        <v>214</v>
      </c>
      <c r="D43" s="115"/>
      <c r="E43" s="115"/>
      <c r="F43" s="116"/>
      <c r="G43" s="116"/>
      <c r="H43" s="112"/>
      <c r="I43" s="112"/>
      <c r="J43" s="112"/>
      <c r="K43" s="112"/>
      <c r="L43" s="112"/>
      <c r="M43" s="112"/>
      <c r="N43" s="112"/>
      <c r="O43" s="112"/>
      <c r="P43" s="112"/>
      <c r="Q43" s="112"/>
      <c r="R43" s="112"/>
      <c r="S43" s="112"/>
      <c r="T43" s="112"/>
      <c r="U43" s="112"/>
      <c r="V43" s="112"/>
      <c r="W43" s="112"/>
      <c r="X43" s="112"/>
      <c r="Y43" s="147"/>
      <c r="Z43" s="279"/>
      <c r="AQ43" s="246"/>
    </row>
    <row r="44" spans="1:43" ht="21.75" customHeight="1">
      <c r="A44" s="107" t="s">
        <v>216</v>
      </c>
      <c r="B44" s="108" t="e">
        <f>(LOOKUP($C$41,'Info Tables'!A19:A58,'Info Tables'!R19:R58))</f>
        <v>#N/A</v>
      </c>
      <c r="C44" s="115" t="s">
        <v>219</v>
      </c>
      <c r="D44" s="115"/>
      <c r="E44" s="115"/>
      <c r="F44" s="116"/>
      <c r="G44" s="116"/>
      <c r="H44" s="112"/>
      <c r="I44" s="112"/>
      <c r="J44" s="112"/>
      <c r="K44" s="112"/>
      <c r="L44" s="112"/>
      <c r="M44" s="112"/>
      <c r="N44" s="112"/>
      <c r="O44" s="112"/>
      <c r="P44" s="112"/>
      <c r="Q44" s="112"/>
      <c r="R44" s="112"/>
      <c r="S44" s="112"/>
      <c r="T44" s="112"/>
      <c r="U44" s="112"/>
      <c r="V44" s="112"/>
      <c r="W44" s="112"/>
      <c r="X44" s="112"/>
      <c r="Y44" s="147"/>
      <c r="Z44" s="279"/>
      <c r="AQ44" s="246"/>
    </row>
    <row r="45" spans="1:43" ht="34.5" customHeight="1">
      <c r="A45" s="107" t="s">
        <v>120</v>
      </c>
      <c r="B45" s="58" t="e">
        <f>(LOOKUP($C$41,'Info Tables'!A19:A58,'Info Tables'!D19:D58))</f>
        <v>#N/A</v>
      </c>
      <c r="C45" s="115" t="s">
        <v>44</v>
      </c>
      <c r="D45" s="115"/>
      <c r="E45" s="115"/>
      <c r="F45" s="116"/>
      <c r="G45" s="116"/>
      <c r="H45" s="112"/>
      <c r="I45" s="112"/>
      <c r="J45" s="112"/>
      <c r="K45" s="112"/>
      <c r="L45" s="112"/>
      <c r="M45" s="112"/>
      <c r="N45" s="112"/>
      <c r="O45" s="112"/>
      <c r="P45" s="112"/>
      <c r="Q45" s="112"/>
      <c r="R45" s="112"/>
      <c r="S45" s="112"/>
      <c r="T45" s="112"/>
      <c r="U45" s="112"/>
      <c r="V45" s="112"/>
      <c r="W45" s="112"/>
      <c r="X45" s="112"/>
      <c r="Y45" s="147"/>
      <c r="Z45" s="279"/>
      <c r="AQ45" s="246"/>
    </row>
    <row r="46" spans="1:43" ht="34.5" customHeight="1">
      <c r="A46" s="107" t="s">
        <v>217</v>
      </c>
      <c r="B46" s="108" t="e">
        <f>(LOOKUP($C$41,'Info Tables'!A19:A58,'Info Tables'!Q19:Q58))</f>
        <v>#N/A</v>
      </c>
      <c r="C46" s="115" t="s">
        <v>214</v>
      </c>
      <c r="D46" s="115"/>
      <c r="E46" s="115"/>
      <c r="F46" s="116"/>
      <c r="G46" s="116"/>
      <c r="H46" s="112"/>
      <c r="I46" s="112"/>
      <c r="J46" s="112"/>
      <c r="K46" s="112"/>
      <c r="L46" s="112"/>
      <c r="M46" s="112"/>
      <c r="N46" s="112"/>
      <c r="O46" s="112"/>
      <c r="P46" s="112"/>
      <c r="Q46" s="112"/>
      <c r="R46" s="112"/>
      <c r="S46" s="112"/>
      <c r="T46" s="112"/>
      <c r="U46" s="112"/>
      <c r="V46" s="112"/>
      <c r="W46" s="112"/>
      <c r="X46" s="112"/>
      <c r="Y46" s="147"/>
      <c r="Z46" s="279"/>
      <c r="AQ46" s="246"/>
    </row>
    <row r="47" spans="1:43" ht="24.75" customHeight="1">
      <c r="A47" s="107" t="s">
        <v>218</v>
      </c>
      <c r="B47" s="108" t="e">
        <f>(LOOKUP($C$41,'Info Tables'!A19:A58,'Info Tables'!S19:S58))</f>
        <v>#N/A</v>
      </c>
      <c r="C47" s="115" t="s">
        <v>219</v>
      </c>
      <c r="D47" s="115"/>
      <c r="E47" s="115"/>
      <c r="F47" s="116"/>
      <c r="G47" s="116"/>
      <c r="H47" s="112"/>
      <c r="I47" s="112"/>
      <c r="J47" s="112"/>
      <c r="K47" s="112"/>
      <c r="L47" s="112"/>
      <c r="M47" s="112"/>
      <c r="N47" s="112"/>
      <c r="O47" s="112"/>
      <c r="P47" s="112"/>
      <c r="Q47" s="112"/>
      <c r="R47" s="112"/>
      <c r="S47" s="112"/>
      <c r="T47" s="112"/>
      <c r="U47" s="112"/>
      <c r="V47" s="112"/>
      <c r="W47" s="112"/>
      <c r="X47" s="112"/>
      <c r="Y47" s="147"/>
      <c r="Z47" s="279"/>
      <c r="AQ47" s="246"/>
    </row>
    <row r="48" spans="1:43" ht="28.5" customHeight="1">
      <c r="A48" s="107" t="s">
        <v>449</v>
      </c>
      <c r="B48" s="124" t="e">
        <f>(LOOKUP($C$41,'Info Tables'!A19:A58,'Info Tables'!K19:K58))</f>
        <v>#N/A</v>
      </c>
      <c r="C48" s="125">
        <v>17</v>
      </c>
      <c r="D48" s="125"/>
      <c r="E48" s="125"/>
      <c r="F48" s="126"/>
      <c r="G48" s="126"/>
      <c r="H48" s="127"/>
      <c r="I48" s="112"/>
      <c r="J48" s="112"/>
      <c r="K48" s="112"/>
      <c r="L48" s="112"/>
      <c r="M48" s="112"/>
      <c r="N48" s="112"/>
      <c r="O48" s="112"/>
      <c r="P48" s="112"/>
      <c r="Q48" s="112"/>
      <c r="R48" s="112"/>
      <c r="S48" s="112"/>
      <c r="T48" s="112"/>
      <c r="U48" s="112"/>
      <c r="V48" s="112"/>
      <c r="W48" s="112"/>
      <c r="X48" s="112"/>
      <c r="Y48" s="147"/>
      <c r="Z48" s="279"/>
      <c r="AQ48" s="246"/>
    </row>
    <row r="49" spans="1:43" ht="32.25" customHeight="1">
      <c r="A49" s="92" t="s">
        <v>24</v>
      </c>
      <c r="B49" s="176" t="str">
        <f>IF(C49=1,"2F1",IF(C49=2,"3F1",IF(C49=3,"4F1",IF(C49=4,"5C1",IF(C49=5,"HS20-44",IF(C49=6,"HS20-44",""))))))</f>
        <v>HS20-44</v>
      </c>
      <c r="C49" s="177">
        <v>6</v>
      </c>
      <c r="D49" s="178" t="s">
        <v>109</v>
      </c>
      <c r="E49" s="179">
        <v>100</v>
      </c>
      <c r="F49" s="177"/>
      <c r="G49" s="145"/>
      <c r="H49" s="146"/>
      <c r="I49" s="112"/>
      <c r="J49" s="112"/>
      <c r="K49" s="112"/>
      <c r="L49" s="112"/>
      <c r="M49" s="112"/>
      <c r="N49" s="112"/>
      <c r="O49" s="112"/>
      <c r="P49" s="112"/>
      <c r="Q49" s="112"/>
      <c r="R49" s="112"/>
      <c r="S49" s="112"/>
      <c r="T49" s="112"/>
      <c r="U49" s="112"/>
      <c r="V49" s="112"/>
      <c r="W49" s="112"/>
      <c r="X49" s="112"/>
      <c r="Y49" s="147"/>
      <c r="Z49" s="279"/>
      <c r="AQ49" s="246"/>
    </row>
    <row r="50" spans="1:43" ht="32.25" customHeight="1">
      <c r="A50" s="92" t="s">
        <v>435</v>
      </c>
      <c r="B50" s="176" t="str">
        <f>A3</f>
        <v>Inventory Rating</v>
      </c>
      <c r="C50" s="177"/>
      <c r="D50" s="178"/>
      <c r="E50" s="179"/>
      <c r="F50" s="177"/>
      <c r="G50" s="145"/>
      <c r="H50" s="146"/>
      <c r="I50" s="112"/>
      <c r="J50" s="112"/>
      <c r="K50" s="112"/>
      <c r="L50" s="112"/>
      <c r="M50" s="112"/>
      <c r="N50" s="112"/>
      <c r="O50" s="112"/>
      <c r="P50" s="112"/>
      <c r="Q50" s="112"/>
      <c r="R50" s="112"/>
      <c r="S50" s="112"/>
      <c r="T50" s="112"/>
      <c r="U50" s="112"/>
      <c r="V50" s="112"/>
      <c r="W50" s="112"/>
      <c r="X50" s="112"/>
      <c r="Y50" s="147"/>
      <c r="Z50" s="279"/>
      <c r="AQ50" s="246"/>
    </row>
    <row r="51" spans="1:43" ht="32.25" customHeight="1">
      <c r="A51" s="92"/>
      <c r="B51" s="92"/>
      <c r="C51" s="92"/>
      <c r="D51" s="92"/>
      <c r="E51" s="92"/>
      <c r="F51" s="92"/>
      <c r="G51" s="92"/>
      <c r="H51" s="92"/>
      <c r="I51" s="92"/>
      <c r="J51" s="92"/>
      <c r="K51" s="92"/>
      <c r="L51" s="92"/>
      <c r="M51" s="92"/>
      <c r="N51" s="92"/>
      <c r="O51" s="92"/>
      <c r="P51" s="92"/>
      <c r="Q51" s="92"/>
      <c r="R51" s="92"/>
      <c r="S51" s="92"/>
      <c r="T51" s="92"/>
      <c r="U51" s="92"/>
      <c r="V51" s="92"/>
      <c r="W51" s="92"/>
      <c r="X51" s="92"/>
      <c r="Y51" s="147"/>
      <c r="Z51" s="279"/>
      <c r="AQ51" s="246"/>
    </row>
    <row r="52" spans="1:43">
      <c r="A52" s="425" t="s">
        <v>464</v>
      </c>
      <c r="B52" s="426"/>
      <c r="C52" s="426"/>
      <c r="D52" s="426"/>
      <c r="E52" s="426"/>
      <c r="F52" s="426"/>
      <c r="G52" s="426"/>
      <c r="H52" s="426"/>
      <c r="I52" s="426"/>
      <c r="J52" s="426"/>
      <c r="K52" s="426"/>
      <c r="L52" s="426"/>
      <c r="M52" s="112"/>
      <c r="N52" s="112"/>
      <c r="O52" s="112"/>
      <c r="P52" s="112"/>
      <c r="Q52" s="112"/>
      <c r="R52" s="112"/>
      <c r="S52" s="112"/>
      <c r="T52" s="112"/>
      <c r="U52" s="112"/>
      <c r="V52" s="112"/>
      <c r="W52" s="112"/>
      <c r="X52" s="112"/>
      <c r="Y52" s="147"/>
      <c r="Z52" s="279"/>
      <c r="AQ52" s="246"/>
    </row>
    <row r="53" spans="1:43">
      <c r="A53" s="13"/>
      <c r="B53" s="185"/>
      <c r="C53" s="186"/>
      <c r="D53" s="186"/>
      <c r="E53" s="186"/>
      <c r="F53" s="186"/>
      <c r="G53" s="186"/>
      <c r="H53" s="187"/>
      <c r="I53" s="112"/>
      <c r="J53" s="112"/>
      <c r="K53" s="112"/>
      <c r="L53" s="112"/>
      <c r="M53" s="112"/>
      <c r="N53" s="112"/>
      <c r="O53" s="112"/>
      <c r="P53" s="112"/>
      <c r="Q53" s="112"/>
      <c r="R53" s="112"/>
      <c r="S53" s="112"/>
      <c r="T53" s="112"/>
      <c r="U53" s="112"/>
      <c r="V53" s="112"/>
      <c r="W53" s="112"/>
      <c r="X53" s="112"/>
      <c r="Y53" s="147"/>
      <c r="Z53" s="279"/>
      <c r="AQ53" s="246"/>
    </row>
    <row r="54" spans="1:43">
      <c r="A54" s="13"/>
      <c r="B54" s="13"/>
      <c r="C54" s="116"/>
      <c r="D54" s="116"/>
      <c r="E54" s="116"/>
      <c r="F54" s="116"/>
      <c r="G54" s="116"/>
      <c r="H54" s="112"/>
      <c r="I54" s="112"/>
      <c r="J54" s="112"/>
      <c r="K54" s="112"/>
      <c r="L54" s="112"/>
      <c r="M54" s="112"/>
      <c r="N54" s="112"/>
      <c r="O54" s="112"/>
      <c r="P54" s="112"/>
      <c r="Q54" s="112"/>
      <c r="R54" s="112"/>
      <c r="S54" s="112"/>
      <c r="T54" s="112"/>
      <c r="U54" s="112"/>
      <c r="V54" s="112"/>
      <c r="W54" s="112"/>
      <c r="X54" s="112"/>
      <c r="Y54" s="147"/>
      <c r="Z54" s="279"/>
      <c r="AQ54" s="246"/>
    </row>
    <row r="55" spans="1:43" ht="18" customHeight="1">
      <c r="A55" s="13" t="s">
        <v>272</v>
      </c>
      <c r="B55" s="40"/>
      <c r="C55" s="40"/>
      <c r="D55" s="112"/>
      <c r="E55" s="112"/>
      <c r="F55" s="112"/>
      <c r="G55" s="112"/>
      <c r="H55" s="112"/>
      <c r="I55" s="112"/>
      <c r="J55" s="112"/>
      <c r="K55" s="112"/>
      <c r="L55" s="112"/>
      <c r="M55" s="112"/>
      <c r="N55" s="112"/>
      <c r="O55" s="112"/>
      <c r="P55" s="112"/>
      <c r="Q55" s="112"/>
      <c r="R55" s="112"/>
      <c r="S55" s="112"/>
      <c r="T55" s="112"/>
      <c r="U55" s="112"/>
      <c r="V55" s="112"/>
      <c r="W55" s="112"/>
      <c r="X55" s="112"/>
      <c r="Y55" s="147"/>
      <c r="Z55" s="279"/>
      <c r="AQ55" s="246"/>
    </row>
    <row r="56" spans="1:43" ht="53.25" customHeight="1">
      <c r="A56" s="109" t="s">
        <v>23</v>
      </c>
      <c r="B56" s="109" t="s">
        <v>138</v>
      </c>
      <c r="C56" s="2" t="s">
        <v>4</v>
      </c>
      <c r="D56" s="2" t="s">
        <v>309</v>
      </c>
      <c r="E56" s="2" t="s">
        <v>310</v>
      </c>
      <c r="F56" s="2" t="s">
        <v>311</v>
      </c>
      <c r="G56" s="2" t="s">
        <v>312</v>
      </c>
      <c r="H56" s="2" t="s">
        <v>313</v>
      </c>
      <c r="I56" s="2" t="s">
        <v>139</v>
      </c>
      <c r="J56" s="2" t="s">
        <v>64</v>
      </c>
      <c r="K56" s="2" t="s">
        <v>178</v>
      </c>
      <c r="L56" s="2" t="s">
        <v>176</v>
      </c>
      <c r="M56" s="112"/>
      <c r="N56" s="112"/>
      <c r="O56" s="112"/>
      <c r="P56" s="112"/>
      <c r="Q56" s="112"/>
      <c r="R56" s="112"/>
      <c r="S56" s="112"/>
      <c r="T56" s="112"/>
      <c r="U56" s="112"/>
      <c r="V56" s="112"/>
      <c r="W56" s="112"/>
      <c r="X56" s="112"/>
      <c r="Y56" s="147"/>
      <c r="Z56" s="279"/>
      <c r="AQ56" s="246"/>
    </row>
    <row r="57" spans="1:43" ht="20.100000000000001" customHeight="1">
      <c r="A57" s="203" t="s">
        <v>34</v>
      </c>
      <c r="B57" s="22" t="e">
        <f>LOOKUP($C$41,'Info Tables'!A70:A104,'Info Tables'!B70:B109)</f>
        <v>#N/A</v>
      </c>
      <c r="C57" s="17" t="e">
        <f>IF(B57="None","N/A",LOOKUP(B57,'Info Tables'!$A$119:$A$195,'Info Tables'!$B$119:$B$195))</f>
        <v>#N/A</v>
      </c>
      <c r="D57" s="18" t="e">
        <f>IF(B57="None","N/A",$B$48*(LOOKUP(B57,'Member Loads'!$A$13:$A$79,'Member Loads'!$B$13:$B$79)))</f>
        <v>#N/A</v>
      </c>
      <c r="E57" s="18" t="e">
        <f>IF(B57="None","N/A",$B$48*($E$49/100)*(IF($B$49="2F1",LOOKUP(B57,'Member Loads'!$D$13:$D$79,'Member Loads'!$E$13:$E$79),IF($B$49="3F1",LOOKUP(B57,'Member Loads'!$H$13:$H$79,'Member Loads'!$I$13:$I$79),IF($B$49="4F1",LOOKUP(B57,'Member Loads'!$L$13:$L$79,'Member Loads'!$M$13:$M$79),IF($B$49="5C1",LOOKUP(B57,'Member Loads'!$P$13:$P$79,'Member Loads'!$Q$13:$Q$79),IF($B$49="HS20-44",LOOKUP(B57,'Member Loads'!$T$13:$T$79,'Member Loads'!$U$13:$U$79),IF($B$49="Inventory",LOOKUP(B57,'Member Loads'!$X$13:$X$79,'Member Loads'!$Y$13:$Y$79),"N/A"))))))))</f>
        <v>#N/A</v>
      </c>
      <c r="F57" s="18" t="e">
        <f>IF(B57="None","N/A",$B$48*($E$49/100)*(IF($B$49="2F1",LOOKUP(B57,'Member Loads'!$D$13:$D$79,'Member Loads'!$F$13:$F$79),IF($B$49="3F1",LOOKUP(B57,'Member Loads'!$H$13:$H$79,'Member Loads'!$J$13:$J$79),IF($B$49="4F1",LOOKUP(B57,'Member Loads'!$L$13:$L$79,'Member Loads'!$N$13:$N$79),IF($B$49="5C1",LOOKUP(B57,'Member Loads'!$P$13:$P$79,'Member Loads'!$R$13:$R$79),IF($B$49="HS20-44",LOOKUP(B57,'Member Loads'!$T$13:$T$79,'Member Loads'!$V$13:$V$79),IF($B$49="Inventory",LOOKUP(B57,'Member Loads'!$X$13:$X$79,'Member Loads'!$Z$13:$Z$79),"N/A"))))))))</f>
        <v>#N/A</v>
      </c>
      <c r="G57" s="218" t="e">
        <f>IF(B57="None","N/A",IF(D57+E57&lt;0,D57+E57,"N/A"))</f>
        <v>#N/A</v>
      </c>
      <c r="H57" s="218" t="e">
        <f>IF(B57="None","N/A",IF(D57+F57&gt;=0,D57+F57,"N/A"))</f>
        <v>#N/A</v>
      </c>
      <c r="I57" s="18" t="e">
        <f>IF(B57="None","N/A",LOOKUP($C$41,'Info Tables'!A253:A269,'Info Tables'!C253:C269))</f>
        <v>#N/A</v>
      </c>
      <c r="J57" s="18" t="e">
        <f>IF(AND(G57="N/A",$H$57="N/A"),"N/A",IF(AND(G57&lt;0,$H$57="N/A"),"Compression",IF(AND(G57="N/A",$H$57&gt;0),"Tension",IF(AND(G57&lt;0,$H$57&gt;0),"Reversal",IF(AND(D57=0,E57=0,F57=0),"Dead","N/A")))))</f>
        <v>#N/A</v>
      </c>
      <c r="K57" s="18" t="e">
        <f>IF(B57="None","N/A",LOOKUP($C$41,'Info Tables'!$A$653:$A$692,'Info Tables'!$C$653:$C$692))</f>
        <v>#N/A</v>
      </c>
      <c r="L57" s="18" t="e">
        <f>IF(OR(K57="No",K57="N/A"),"N/A",LOOKUP($C$41,'Info Tables'!$A$703:$A$742,'Info Tables'!$C$703:$C$742))</f>
        <v>#N/A</v>
      </c>
      <c r="M57" s="112"/>
      <c r="N57" s="112"/>
      <c r="O57" s="112"/>
      <c r="P57" s="112"/>
      <c r="Q57" s="112"/>
      <c r="R57" s="112"/>
      <c r="S57" s="112"/>
      <c r="T57" s="112"/>
      <c r="U57" s="112"/>
      <c r="V57" s="112"/>
      <c r="W57" s="112"/>
      <c r="X57" s="112"/>
      <c r="Y57" s="147"/>
      <c r="Z57" s="279"/>
      <c r="AQ57" s="246"/>
    </row>
    <row r="58" spans="1:43" ht="20.100000000000001" customHeight="1">
      <c r="A58" s="203" t="s">
        <v>35</v>
      </c>
      <c r="B58" s="22" t="e">
        <f>LOOKUP($C$41,'Info Tables'!A70:A104,'Info Tables'!C70:C109)</f>
        <v>#N/A</v>
      </c>
      <c r="C58" s="17" t="e">
        <f>IF(B58="None","N/A",LOOKUP(B58,'Info Tables'!$A$119:$A$195,'Info Tables'!$B$119:$B$195))</f>
        <v>#N/A</v>
      </c>
      <c r="D58" s="18" t="e">
        <f>IF(B58="None","N/A",$B$48*(LOOKUP(B58,'Member Loads'!$A$13:$A$79,'Member Loads'!$B$13:$B$79)))</f>
        <v>#N/A</v>
      </c>
      <c r="E58" s="18" t="e">
        <f>IF(B58="None","N/A",$B$48*($E$49/100)*(IF($B$49="2F1",LOOKUP(B58,'Member Loads'!$D$13:$D$79,'Member Loads'!$E$13:$E$79),IF($B$49="3F1",LOOKUP(B58,'Member Loads'!$H$13:$H$79,'Member Loads'!$I$13:$I$79),IF($B$49="4F1",LOOKUP(B58,'Member Loads'!$L$13:$L$79,'Member Loads'!$M$13:$M$79),IF($B$49="5C1",LOOKUP(B58,'Member Loads'!$P$13:$P$79,'Member Loads'!$Q$13:$Q$79),IF($B$49="HS20-44",LOOKUP(B58,'Member Loads'!$T$13:$T$79,'Member Loads'!$U$13:$U$79),IF($B$49="Inventory",LOOKUP(B58,'Member Loads'!$X$13:$X$79,'Member Loads'!$Y$13:$Y$79),"N/A"))))))))</f>
        <v>#N/A</v>
      </c>
      <c r="F58" s="18" t="e">
        <f>IF(B58="None","N/A",$B$48*($E$49/100)*(IF($B$49="2F1",LOOKUP(B58,'Member Loads'!$D$13:$D$79,'Member Loads'!$F$13:$F$79),IF($B$49="3F1",LOOKUP(B58,'Member Loads'!$H$13:$H$79,'Member Loads'!$J$13:$J$79),IF($B$49="4F1",LOOKUP(B58,'Member Loads'!$L$13:$L$79,'Member Loads'!$N$13:$N$79),IF($B$49="5C1",LOOKUP(B58,'Member Loads'!$P$13:$P$79,'Member Loads'!$R$13:$R$79),IF($B$49="HS20-44",LOOKUP(B58,'Member Loads'!$T$13:$T$79,'Member Loads'!$V$13:$V$79),IF($B$49="Inventory",LOOKUP(B58,'Member Loads'!$X$13:$X$79,'Member Loads'!$Z$13:$Z$79),"N/A"))))))))</f>
        <v>#N/A</v>
      </c>
      <c r="G58" s="218" t="e">
        <f>IF(B58="None","N/A",IF(D58+E58&lt;0,D58+E58,"N/A"))</f>
        <v>#N/A</v>
      </c>
      <c r="H58" s="218" t="e">
        <f>IF(B58="None","N/A",IF(D58+F58&gt;=0,D58+F58,"N/A"))</f>
        <v>#N/A</v>
      </c>
      <c r="I58" s="18" t="e">
        <f>IF(B58="None","N/A",LOOKUP($C$41,'Info Tables'!A253:A269,'Info Tables'!D253:D269))</f>
        <v>#N/A</v>
      </c>
      <c r="J58" s="18" t="e">
        <f>IF(AND(G58="N/A",$H$58="N/A"),"N/A",IF(AND(G58&lt;0,$H$58="N/A"),"Compression",IF(AND(G58="N/A",$H$58&gt;0),"Tension",IF(AND(G58&lt;0,$H$58&gt;0),"Reversal",IF(AND(D58=0,E58=0,F58=0),"Dead","N/A")))))</f>
        <v>#N/A</v>
      </c>
      <c r="K58" s="18" t="e">
        <f>IF(B58="None","N/A",LOOKUP($C$41,'Info Tables'!$A$653:$A$692,'Info Tables'!$D$653:$D$692))</f>
        <v>#N/A</v>
      </c>
      <c r="L58" s="18" t="e">
        <f>IF(OR(K58="No",K58="N/A"),"N/A",LOOKUP($C$41,'Info Tables'!$A$703:$A$742,'Info Tables'!$D$703:$D$742))</f>
        <v>#N/A</v>
      </c>
      <c r="M58" s="112"/>
      <c r="N58" s="112"/>
      <c r="O58" s="112"/>
      <c r="P58" s="112"/>
      <c r="Q58" s="112"/>
      <c r="R58" s="112"/>
      <c r="S58" s="112"/>
      <c r="T58" s="112"/>
      <c r="U58" s="112"/>
      <c r="V58" s="112"/>
      <c r="W58" s="112"/>
      <c r="X58" s="112"/>
      <c r="Y58" s="147"/>
      <c r="Z58" s="279"/>
      <c r="AQ58" s="246"/>
    </row>
    <row r="59" spans="1:43" ht="20.100000000000001" customHeight="1">
      <c r="A59" s="203" t="s">
        <v>20</v>
      </c>
      <c r="B59" s="22" t="e">
        <f>LOOKUP($C$41,'Info Tables'!A70:A104,'Info Tables'!D70:D109)</f>
        <v>#N/A</v>
      </c>
      <c r="C59" s="17" t="e">
        <f>IF(B59="None","N/A",LOOKUP(B59,'Info Tables'!$A$119:$A$195,'Info Tables'!$B$119:$B$195))</f>
        <v>#N/A</v>
      </c>
      <c r="D59" s="18" t="e">
        <f>IF(B59="None","N/A",LOOKUP(B59,'Member Loads'!$A$13:$A$79,'Member Loads'!$B$13:$B$79))</f>
        <v>#N/A</v>
      </c>
      <c r="E59" s="18" t="e">
        <f>IF(B59="None","N/A",($E$49/100)*(IF($B$49="2F1",LOOKUP(B59,'Member Loads'!$D$13:$D$79,'Member Loads'!$E$13:$E$79),IF($B$49="3F1",LOOKUP(B59,'Member Loads'!$H$13:$H$79,'Member Loads'!$I$13:$I$79),IF($B$49="4F1",LOOKUP(B59,'Member Loads'!$L$13:$L$79,'Member Loads'!$M$13:$M$79),IF($B$49="5C1",LOOKUP(B59,'Member Loads'!$P$13:$P$79,'Member Loads'!$Q$13:$Q$79),IF($B$49="HS20-44",LOOKUP(B59,'Member Loads'!$T$13:$T$79,'Member Loads'!$U$13:$U$79),IF($B$49="Inventory",LOOKUP(B59,'Member Loads'!$X$13:$X$79,'Member Loads'!$Y$13:$Y$79),"N/A"))))))))</f>
        <v>#N/A</v>
      </c>
      <c r="F59" s="18" t="e">
        <f>IF(B59="None","N/A",($E$49/100)*(IF($B$49="2F1",LOOKUP(B59,'Member Loads'!$D$13:$D$79,'Member Loads'!$F$13:$F$79),IF($B$49="3F1",LOOKUP(B59,'Member Loads'!$H$13:$H$79,'Member Loads'!$J$13:$J$79),IF($B$49="4F1",LOOKUP(B59,'Member Loads'!$L$13:$L$79,'Member Loads'!$N$13:$N$79),IF($B$49="5C1",LOOKUP(B59,'Member Loads'!$P$13:$P$79,'Member Loads'!$R$13:$R$79),IF($B$49="HS20-44",LOOKUP(B59,'Member Loads'!$T$13:$T$79,'Member Loads'!$V$13:$V$79),IF($B$49="Inventory",LOOKUP(B59,'Member Loads'!$X$13:$X$79,'Member Loads'!$Z$13:$Z$79),"N/A"))))))))</f>
        <v>#N/A</v>
      </c>
      <c r="G59" s="218" t="e">
        <f>IF(B59="None","N/A",IF(D59+E59&lt;0,D59+E59,"N/A"))</f>
        <v>#N/A</v>
      </c>
      <c r="H59" s="218" t="e">
        <f>IF(B59="None","N/A",IF(D59+F59&gt;=0,D59+F59,"N/A"))</f>
        <v>#N/A</v>
      </c>
      <c r="I59" s="18" t="e">
        <f>IF(B59="None","N/A",LOOKUP($C$41,'Info Tables'!A253:A269,'Info Tables'!E253:E269))</f>
        <v>#N/A</v>
      </c>
      <c r="J59" s="18" t="e">
        <f>IF(AND(G59="N/A",$H$59="N/A"),"N/A",IF(AND(G59&lt;0,$H$59="N/A"),"Compression",IF(AND(G59="N/A",$H$59&gt;0),"Tension",IF(AND(G59&lt;0,$H$59&gt;0),"Reversal",IF(AND(D59=0,E59=0,F59=0),"Dead","N/A")))))</f>
        <v>#N/A</v>
      </c>
      <c r="K59" s="18" t="e">
        <f>IF(B59="None","N/A",LOOKUP($C$41,'Info Tables'!$A$653:$A$692,'Info Tables'!$E$653:$E$692))</f>
        <v>#N/A</v>
      </c>
      <c r="L59" s="18" t="e">
        <f>IF(OR(K59="No",K59="N/A"),"N/A",LOOKUP($C$41,'Info Tables'!$A$703:$A$742,'Info Tables'!$E$703:$E$742))</f>
        <v>#N/A</v>
      </c>
      <c r="M59" s="112"/>
      <c r="N59" s="112"/>
      <c r="O59" s="112"/>
      <c r="P59" s="112"/>
      <c r="Q59" s="112"/>
      <c r="R59" s="112"/>
      <c r="S59" s="112"/>
      <c r="T59" s="112"/>
      <c r="U59" s="112"/>
      <c r="V59" s="112"/>
      <c r="W59" s="112"/>
      <c r="X59" s="112"/>
      <c r="Y59" s="147"/>
      <c r="Z59" s="279"/>
      <c r="AQ59" s="246"/>
    </row>
    <row r="60" spans="1:43" ht="20.100000000000001" customHeight="1">
      <c r="A60" s="203" t="s">
        <v>21</v>
      </c>
      <c r="B60" s="22" t="e">
        <f>LOOKUP($C$41,'Info Tables'!A70:A104,'Info Tables'!E70:E109)</f>
        <v>#N/A</v>
      </c>
      <c r="C60" s="17" t="e">
        <f>IF(B60="None","N/A",LOOKUP(B60,'Info Tables'!$A$119:$A$195,'Info Tables'!$B$119:$B$195))</f>
        <v>#N/A</v>
      </c>
      <c r="D60" s="18" t="e">
        <f>IF(B60="None","N/A",LOOKUP(B60,'Member Loads'!$A$13:$A$79,'Member Loads'!$B$13:$B$79))</f>
        <v>#N/A</v>
      </c>
      <c r="E60" s="18" t="e">
        <f>IF(B60="None","N/A",($E$49/100)*(IF($B$49="2F1",LOOKUP(B60,'Member Loads'!$D$13:$D$79,'Member Loads'!$E$13:$E$79),IF($B$49="3F1",LOOKUP(B60,'Member Loads'!$H$13:$H$79,'Member Loads'!$I$13:$I$79),IF($B$49="4F1",LOOKUP(B60,'Member Loads'!$L$13:$L$79,'Member Loads'!$M$13:$M$79),IF($B$49="5C1",LOOKUP(B60,'Member Loads'!$P$13:$P$79,'Member Loads'!$Q$13:$Q$79),IF($B$49="HS20-44",LOOKUP(B60,'Member Loads'!$T$13:$T$79,'Member Loads'!$U$13:$U$79),IF($B$49="Inventory",LOOKUP(B60,'Member Loads'!$X$13:$X$79,'Member Loads'!$Y$13:$Y$79),"N/A"))))))))</f>
        <v>#N/A</v>
      </c>
      <c r="F60" s="18" t="e">
        <f>IF(B60="None","N/A",($E$49/100)*(IF($B$49="2F1",LOOKUP(B60,'Member Loads'!$D$13:$D$79,'Member Loads'!$F$13:$F$79),IF($B$49="3F1",LOOKUP(B60,'Member Loads'!$H$13:$H$79,'Member Loads'!$J$13:$J$79),IF($B$49="4F1",LOOKUP(B60,'Member Loads'!$L$13:$L$79,'Member Loads'!$N$13:$N$79),IF($B$49="5C1",LOOKUP(B60,'Member Loads'!$P$13:$P$79,'Member Loads'!$R$13:$R$79),IF($B$49="HS20-44",LOOKUP(B60,'Member Loads'!$T$13:$T$79,'Member Loads'!$V$13:$V$79),IF($B$49="Inventory",LOOKUP(B60,'Member Loads'!$X$13:$X$79,'Member Loads'!$Z$13:$Z$79),"N/A"))))))))</f>
        <v>#N/A</v>
      </c>
      <c r="G60" s="218" t="e">
        <f>IF(B60="None","N/A",IF(D60+E60&lt;0,D60+E60,"N/A"))</f>
        <v>#N/A</v>
      </c>
      <c r="H60" s="218" t="e">
        <f>IF(B60="None","N/A",IF(D60+F60&gt;=0,D60+F60,"N/A"))</f>
        <v>#N/A</v>
      </c>
      <c r="I60" s="18" t="e">
        <f>IF(B60="None","N/A",LOOKUP($C$41,'Info Tables'!A253:A269,'Info Tables'!F253:F269))</f>
        <v>#N/A</v>
      </c>
      <c r="J60" s="18" t="e">
        <f>IF(AND(G60="N/A",$H$60="N/A"),"N/A",IF(AND(G60&lt;0,$H$60="N/A"),"Compression",IF(AND(G60="N/A",$H$60&gt;0),"Tension",IF(AND(G60&lt;0,$H$60&gt;0),"Reversal",IF(AND(D60=0,E60=0,F60=0),"Dead","N/A")))))</f>
        <v>#N/A</v>
      </c>
      <c r="K60" s="18" t="e">
        <f>IF(B60="None","N/A",LOOKUP($C$41,'Info Tables'!$A$653:$A$692,'Info Tables'!$F$653:$F$692))</f>
        <v>#N/A</v>
      </c>
      <c r="L60" s="18" t="e">
        <f>IF(OR(K60="No",K60="N/A"),"N/A",LOOKUP($C$41,'Info Tables'!$A$703:$A$742,'Info Tables'!$F$703:$F$742))</f>
        <v>#N/A</v>
      </c>
      <c r="M60" s="112"/>
      <c r="N60" s="112"/>
      <c r="O60" s="112"/>
      <c r="P60" s="112"/>
      <c r="Q60" s="112"/>
      <c r="R60" s="112"/>
      <c r="S60" s="112"/>
      <c r="T60" s="112"/>
      <c r="U60" s="112"/>
      <c r="V60" s="112"/>
      <c r="W60" s="112"/>
      <c r="X60" s="112"/>
      <c r="Y60" s="147"/>
      <c r="Z60" s="279"/>
      <c r="AQ60" s="246"/>
    </row>
    <row r="61" spans="1:43" ht="20.100000000000001" customHeight="1">
      <c r="A61" s="203" t="s">
        <v>22</v>
      </c>
      <c r="B61" s="22" t="e">
        <f>LOOKUP($C$41,'Info Tables'!A70:A104,'Info Tables'!F70:F109)</f>
        <v>#N/A</v>
      </c>
      <c r="C61" s="17" t="e">
        <f>IF(B61="None","N/A",LOOKUP(B61,'Info Tables'!$A$119:$A$195,'Info Tables'!$B$119:$B$195))</f>
        <v>#N/A</v>
      </c>
      <c r="D61" s="18" t="e">
        <f>IF(B61="None","N/A",LOOKUP(B61,'Member Loads'!$A$13:$A$79,'Member Loads'!$B$13:$B$79))</f>
        <v>#N/A</v>
      </c>
      <c r="E61" s="18" t="e">
        <f>IF(B61="None","N/A",($E$49/100)*(IF($B$49="2F1",LOOKUP(B61,'Member Loads'!$D$13:$D$79,'Member Loads'!$E$13:$E$79),IF($B$49="3F1",LOOKUP(B61,'Member Loads'!$H$13:$H$79,'Member Loads'!$I$13:$I$79),IF($B$49="4F1",LOOKUP(B61,'Member Loads'!$L$13:$L$79,'Member Loads'!$M$13:$M$79),IF($B$49="5C1",LOOKUP(B61,'Member Loads'!$P$13:$P$79,'Member Loads'!$Q$13:$Q$79),IF($B$49="HS20-44",LOOKUP(B61,'Member Loads'!$T$13:$T$79,'Member Loads'!$U$13:$U$79),IF($B$49="Inventory",LOOKUP(B61,'Member Loads'!$X$13:$X$79,'Member Loads'!$Y$13:$Y$79),"N/A"))))))))</f>
        <v>#N/A</v>
      </c>
      <c r="F61" s="18" t="e">
        <f>IF(B61="None","N/A",($E$49/100)*(IF($B$49="2F1",LOOKUP(B61,'Member Loads'!$D$13:$D$79,'Member Loads'!$F$13:$F$79),IF($B$49="3F1",LOOKUP(B61,'Member Loads'!$H$13:$H$79,'Member Loads'!$J$13:$J$79),IF($B$49="4F1",LOOKUP(B61,'Member Loads'!$L$13:$L$79,'Member Loads'!$N$13:$N$79),IF($B$49="5C1",LOOKUP(B61,'Member Loads'!$P$13:$P$79,'Member Loads'!$R$13:$R$79),IF($B$49="HS20-44",LOOKUP(B61,'Member Loads'!$T$13:$T$79,'Member Loads'!$V$13:$V$79),IF($B$49="Inventory",LOOKUP(B61,'Member Loads'!$X$13:$X$79,'Member Loads'!$Z$13:$Z$79),"N/A"))))))))</f>
        <v>#N/A</v>
      </c>
      <c r="G61" s="218" t="e">
        <f>IF(B61="None","N/A",IF(D61+E61&lt;0,D61+E61,"N/A"))</f>
        <v>#N/A</v>
      </c>
      <c r="H61" s="218" t="e">
        <f>IF(B61="None","N/A",IF(D61+F61&gt;=0,D61+F61,"N/A"))</f>
        <v>#N/A</v>
      </c>
      <c r="I61" s="18" t="e">
        <f>IF(B61="None","N/A",LOOKUP($C$41,'Info Tables'!A253:A269,'Info Tables'!G253:G269))</f>
        <v>#N/A</v>
      </c>
      <c r="J61" s="18" t="e">
        <f>IF(AND(G61="N/A",$H$61="N/A"),"N/A",IF(AND(G61&lt;0,$H$61="N/A"),"Compression",IF(AND(G61="N/A",$H$61&gt;0),"Tension",IF(AND(G61&lt;0,$H$61&gt;0),"Reversal",IF(AND(D61=0,E61=0,F61=0),"Dead","N/A")))))</f>
        <v>#N/A</v>
      </c>
      <c r="K61" s="18" t="e">
        <f>IF(B61="None","N/A",LOOKUP($C$41,'Info Tables'!$A$653:$A$692,'Info Tables'!$G$653:$G$692))</f>
        <v>#N/A</v>
      </c>
      <c r="L61" s="18" t="e">
        <f>IF(OR(K61="No",K61="N/A"),"N/A",LOOKUP($C$41,'Info Tables'!$A$703:$A$742,'Info Tables'!$G$703:$G$742))</f>
        <v>#N/A</v>
      </c>
      <c r="M61" s="112"/>
      <c r="N61" s="112"/>
      <c r="O61" s="112"/>
      <c r="P61" s="112"/>
      <c r="Q61" s="112"/>
      <c r="R61" s="112"/>
      <c r="S61" s="112"/>
      <c r="T61" s="112"/>
      <c r="U61" s="112"/>
      <c r="V61" s="112"/>
      <c r="W61" s="112"/>
      <c r="X61" s="112"/>
      <c r="Y61" s="147"/>
      <c r="Z61" s="279"/>
      <c r="AQ61" s="246"/>
    </row>
    <row r="62" spans="1:43">
      <c r="A62" s="13"/>
      <c r="B62" s="13"/>
      <c r="C62" s="19"/>
      <c r="D62" s="19"/>
      <c r="E62" s="19"/>
      <c r="F62" s="19"/>
      <c r="G62" s="19"/>
      <c r="H62" s="19"/>
      <c r="I62" s="20"/>
      <c r="J62" s="112"/>
      <c r="K62" s="112"/>
      <c r="L62" s="112"/>
      <c r="M62" s="112"/>
      <c r="N62" s="112"/>
      <c r="O62" s="112"/>
      <c r="P62" s="112"/>
      <c r="Q62" s="112"/>
      <c r="R62" s="112"/>
      <c r="S62" s="112"/>
      <c r="T62" s="112"/>
      <c r="U62" s="112"/>
      <c r="V62" s="112"/>
      <c r="W62" s="112"/>
      <c r="X62" s="112"/>
      <c r="Y62" s="147"/>
      <c r="Z62" s="279"/>
      <c r="AQ62" s="246"/>
    </row>
    <row r="63" spans="1:43">
      <c r="A63" s="13"/>
      <c r="B63" s="13"/>
      <c r="C63" s="19"/>
      <c r="D63" s="19"/>
      <c r="E63" s="226"/>
      <c r="F63" s="19"/>
      <c r="G63" s="19"/>
      <c r="H63" s="19"/>
      <c r="I63" s="20"/>
      <c r="J63" s="112"/>
      <c r="K63" s="112"/>
      <c r="L63" s="112"/>
      <c r="M63" s="112"/>
      <c r="N63" s="112"/>
      <c r="O63" s="112"/>
      <c r="P63" s="112"/>
      <c r="Q63" s="112"/>
      <c r="R63" s="112"/>
      <c r="S63" s="112"/>
      <c r="T63" s="112"/>
      <c r="U63" s="112"/>
      <c r="V63" s="112"/>
      <c r="W63" s="112"/>
      <c r="X63" s="112"/>
      <c r="Y63" s="147"/>
      <c r="Z63" s="279"/>
      <c r="AQ63" s="246"/>
    </row>
    <row r="64" spans="1:43">
      <c r="A64" s="13"/>
      <c r="B64" s="13"/>
      <c r="C64" s="19"/>
      <c r="D64" s="19"/>
      <c r="E64" s="19"/>
      <c r="F64" s="19"/>
      <c r="G64" s="19"/>
      <c r="H64" s="19"/>
      <c r="I64" s="20"/>
      <c r="J64" s="112"/>
      <c r="K64" s="112"/>
      <c r="L64" s="112"/>
      <c r="M64" s="112"/>
      <c r="N64" s="112"/>
      <c r="O64" s="112"/>
      <c r="P64" s="112"/>
      <c r="Q64" s="112"/>
      <c r="R64" s="112"/>
      <c r="S64" s="112"/>
      <c r="T64" s="112"/>
      <c r="U64" s="112"/>
      <c r="V64" s="112"/>
      <c r="W64" s="112"/>
      <c r="X64" s="112"/>
      <c r="Y64" s="147"/>
      <c r="Z64" s="279"/>
      <c r="AQ64" s="246"/>
    </row>
    <row r="65" spans="1:44">
      <c r="A65" s="13"/>
      <c r="B65" s="13"/>
      <c r="C65" s="19"/>
      <c r="D65" s="19"/>
      <c r="E65" s="19"/>
      <c r="F65" s="19"/>
      <c r="G65" s="19"/>
      <c r="H65" s="19"/>
      <c r="I65" s="20"/>
      <c r="J65" s="112"/>
      <c r="K65" s="112"/>
      <c r="L65" s="112"/>
      <c r="M65" s="112"/>
      <c r="N65" s="112"/>
      <c r="O65" s="112"/>
      <c r="P65" s="112"/>
      <c r="Q65" s="112"/>
      <c r="R65" s="112"/>
      <c r="S65" s="112"/>
      <c r="T65" s="112"/>
      <c r="U65" s="112"/>
      <c r="V65" s="112"/>
      <c r="W65" s="112"/>
      <c r="X65" s="112"/>
      <c r="Y65" s="147"/>
      <c r="Z65" s="279"/>
      <c r="AQ65" s="246"/>
    </row>
    <row r="66" spans="1:44">
      <c r="A66" s="60"/>
      <c r="B66" s="112"/>
      <c r="C66" s="112"/>
      <c r="D66" s="112"/>
      <c r="E66" s="112"/>
      <c r="F66" s="112"/>
      <c r="G66" s="112"/>
      <c r="H66" s="112"/>
      <c r="I66" s="112"/>
      <c r="J66" s="112"/>
      <c r="K66" s="112"/>
      <c r="L66" s="112"/>
      <c r="M66" s="112"/>
      <c r="N66" s="112"/>
      <c r="O66" s="112"/>
      <c r="P66" s="112"/>
      <c r="Q66" s="112"/>
      <c r="R66" s="112"/>
      <c r="S66" s="112"/>
      <c r="T66" s="112"/>
      <c r="U66" s="112"/>
      <c r="V66" s="112"/>
      <c r="W66" s="112"/>
      <c r="X66" s="112"/>
      <c r="Y66" s="147"/>
      <c r="Z66" s="279"/>
      <c r="AQ66" s="246"/>
    </row>
    <row r="67" spans="1:44">
      <c r="A67" s="204" t="s">
        <v>273</v>
      </c>
      <c r="B67" s="7"/>
      <c r="C67" s="7"/>
      <c r="D67" s="7"/>
      <c r="E67" s="7"/>
      <c r="F67" s="7"/>
      <c r="G67" s="7"/>
      <c r="H67" s="7"/>
      <c r="I67" s="7"/>
      <c r="J67" s="7"/>
      <c r="K67" s="7"/>
      <c r="L67" s="7"/>
      <c r="M67" s="7"/>
      <c r="N67" s="7"/>
      <c r="O67" s="7"/>
      <c r="P67" s="112"/>
      <c r="Q67" s="112"/>
      <c r="R67" s="112"/>
      <c r="S67" s="112"/>
      <c r="T67" s="112"/>
      <c r="U67" s="112"/>
      <c r="V67" s="112"/>
      <c r="W67" s="112"/>
      <c r="X67" s="112"/>
      <c r="Y67" s="147"/>
      <c r="Z67" s="279"/>
      <c r="AQ67" s="246"/>
    </row>
    <row r="68" spans="1:44" ht="69" customHeight="1">
      <c r="A68" s="109" t="s">
        <v>23</v>
      </c>
      <c r="B68" s="109" t="s">
        <v>138</v>
      </c>
      <c r="C68" s="2" t="s">
        <v>4</v>
      </c>
      <c r="D68" s="2" t="s">
        <v>36</v>
      </c>
      <c r="E68" s="2" t="s">
        <v>37</v>
      </c>
      <c r="F68" s="11" t="s">
        <v>314</v>
      </c>
      <c r="G68" s="11" t="s">
        <v>315</v>
      </c>
      <c r="H68" s="11" t="s">
        <v>316</v>
      </c>
      <c r="I68" s="11" t="s">
        <v>317</v>
      </c>
      <c r="J68" s="11" t="s">
        <v>318</v>
      </c>
      <c r="K68" s="11" t="s">
        <v>319</v>
      </c>
      <c r="L68" s="12" t="s">
        <v>320</v>
      </c>
      <c r="M68" s="12" t="s">
        <v>321</v>
      </c>
      <c r="N68" s="12" t="s">
        <v>322</v>
      </c>
      <c r="O68" s="12" t="s">
        <v>323</v>
      </c>
      <c r="P68" s="112"/>
      <c r="Q68" s="112"/>
      <c r="R68" s="112"/>
      <c r="S68" s="112"/>
      <c r="T68" s="112"/>
      <c r="U68" s="112"/>
      <c r="V68" s="112"/>
      <c r="W68" s="112"/>
      <c r="X68" s="112"/>
      <c r="Y68" s="147"/>
      <c r="Z68" s="279"/>
      <c r="AQ68" s="246"/>
      <c r="AR68" s="246"/>
    </row>
    <row r="69" spans="1:44" ht="20.100000000000001" customHeight="1">
      <c r="A69" s="203" t="s">
        <v>34</v>
      </c>
      <c r="B69" s="22" t="e">
        <f>$B$57</f>
        <v>#N/A</v>
      </c>
      <c r="C69" s="17" t="e">
        <f>$C$57</f>
        <v>#N/A</v>
      </c>
      <c r="D69" s="51" t="e">
        <f>IF($B$69="None",0,COS(RADIANS($I$57)))</f>
        <v>#N/A</v>
      </c>
      <c r="E69" s="51" t="e">
        <f>IF($B$69="None",0,SIN(RADIANS($I$57)))</f>
        <v>#N/A</v>
      </c>
      <c r="F69" s="18" t="e">
        <f>IF(D57="N/A",0,D57*D69)</f>
        <v>#N/A</v>
      </c>
      <c r="G69" s="18" t="e">
        <f>IF(D57="N/A",0,D57*E69)</f>
        <v>#N/A</v>
      </c>
      <c r="H69" s="18" t="e">
        <f>IF($E$57="N/A",0,E57*D69)</f>
        <v>#N/A</v>
      </c>
      <c r="I69" s="18" t="e">
        <f>IF($E$57="N/A",0,E57*E69)</f>
        <v>#N/A</v>
      </c>
      <c r="J69" s="18" t="e">
        <f>IF(F57="N/A",0,F57*D69)</f>
        <v>#N/A</v>
      </c>
      <c r="K69" s="18" t="e">
        <f>IF(F57="N/A",0,F57*E69)</f>
        <v>#N/A</v>
      </c>
      <c r="L69" s="217" t="e">
        <f>IF(G57="N/A",0,G57*D69)</f>
        <v>#N/A</v>
      </c>
      <c r="M69" s="217" t="e">
        <f>IF(G57="N/A",0,G57*E69)</f>
        <v>#N/A</v>
      </c>
      <c r="N69" s="217" t="e">
        <f>IF($H$57="N/A",0,$H$57*D69)</f>
        <v>#N/A</v>
      </c>
      <c r="O69" s="217" t="e">
        <f>IF($H$57="N/A",0,$H$57*E69)</f>
        <v>#N/A</v>
      </c>
      <c r="P69" s="112"/>
      <c r="Q69" s="112"/>
      <c r="R69" s="112"/>
      <c r="S69" s="112"/>
      <c r="T69" s="112"/>
      <c r="U69" s="112"/>
      <c r="V69" s="112"/>
      <c r="W69" s="112"/>
      <c r="X69" s="112"/>
      <c r="Y69" s="147"/>
      <c r="Z69" s="279"/>
      <c r="AQ69" s="246"/>
      <c r="AR69" s="246"/>
    </row>
    <row r="70" spans="1:44" ht="20.100000000000001" customHeight="1">
      <c r="A70" s="203" t="s">
        <v>35</v>
      </c>
      <c r="B70" s="22" t="e">
        <f>$B$58</f>
        <v>#N/A</v>
      </c>
      <c r="C70" s="17" t="e">
        <f>$C$58</f>
        <v>#N/A</v>
      </c>
      <c r="D70" s="51" t="e">
        <f>IF($B$70="None",0,COS(RADIANS($I$58)))</f>
        <v>#N/A</v>
      </c>
      <c r="E70" s="51" t="e">
        <f>IF($B$70="None",0,SIN(RADIANS($I$58)))</f>
        <v>#N/A</v>
      </c>
      <c r="F70" s="18" t="e">
        <f>IF(D58="N/A",0,D58*D70)</f>
        <v>#N/A</v>
      </c>
      <c r="G70" s="18" t="e">
        <f>IF(D58="N/A",0,D58*E70)</f>
        <v>#N/A</v>
      </c>
      <c r="H70" s="18" t="e">
        <f>IF($E$58="N/A",0,E58*D70)</f>
        <v>#N/A</v>
      </c>
      <c r="I70" s="18" t="e">
        <f>IF($E$58="N/A",0,E58*E70)</f>
        <v>#N/A</v>
      </c>
      <c r="J70" s="18" t="e">
        <f>IF(F58="N/A",0,F58*D70)</f>
        <v>#N/A</v>
      </c>
      <c r="K70" s="18" t="e">
        <f>IF(F58="N/A",0,F58*E70)</f>
        <v>#N/A</v>
      </c>
      <c r="L70" s="217" t="e">
        <f>IF(G58="N/A",0,G58*D70)</f>
        <v>#N/A</v>
      </c>
      <c r="M70" s="217" t="e">
        <f>IF(G58="N/A",0,G58*E70)</f>
        <v>#N/A</v>
      </c>
      <c r="N70" s="217" t="e">
        <f>IF($H$58="N/A",0,$H$58*D70)</f>
        <v>#N/A</v>
      </c>
      <c r="O70" s="217" t="e">
        <f>IF($H$58="N/A",0,$H$58*E70)</f>
        <v>#N/A</v>
      </c>
      <c r="P70" s="112"/>
      <c r="Q70" s="112"/>
      <c r="R70" s="112"/>
      <c r="S70" s="112"/>
      <c r="T70" s="112"/>
      <c r="U70" s="112"/>
      <c r="V70" s="112"/>
      <c r="W70" s="112"/>
      <c r="X70" s="112"/>
      <c r="Y70" s="147"/>
      <c r="Z70" s="279"/>
      <c r="AQ70" s="246"/>
      <c r="AR70" s="246"/>
    </row>
    <row r="71" spans="1:44" ht="20.100000000000001" customHeight="1">
      <c r="A71" s="203" t="s">
        <v>20</v>
      </c>
      <c r="B71" s="22" t="e">
        <f>$B$59</f>
        <v>#N/A</v>
      </c>
      <c r="C71" s="17" t="e">
        <f>$C$59</f>
        <v>#N/A</v>
      </c>
      <c r="D71" s="51" t="e">
        <f>IF($B$71="None",0,COS(RADIANS($I$59)))</f>
        <v>#N/A</v>
      </c>
      <c r="E71" s="51" t="e">
        <f>IF($B$71="None",0,SIN(RADIANS($I$59)))</f>
        <v>#N/A</v>
      </c>
      <c r="F71" s="18" t="e">
        <f>IF(D59="N/A",0,D59*D71)</f>
        <v>#N/A</v>
      </c>
      <c r="G71" s="18" t="e">
        <f>IF(D59="N/A",0,D59*E71)</f>
        <v>#N/A</v>
      </c>
      <c r="H71" s="18" t="e">
        <f>IF($E$59="N/A",0,E59*D71)</f>
        <v>#N/A</v>
      </c>
      <c r="I71" s="18" t="e">
        <f>IF($E$59="N/A",0,E59*E71)</f>
        <v>#N/A</v>
      </c>
      <c r="J71" s="18" t="e">
        <f>IF(F59="N/A",0,F59*D71)</f>
        <v>#N/A</v>
      </c>
      <c r="K71" s="18" t="e">
        <f>IF(F59="N/A",0,F59*E71)</f>
        <v>#N/A</v>
      </c>
      <c r="L71" s="217" t="e">
        <f>IF(G59="N/A",0,G59*D71)</f>
        <v>#N/A</v>
      </c>
      <c r="M71" s="217" t="e">
        <f>IF(G59="N/A",0,G59*E71)</f>
        <v>#N/A</v>
      </c>
      <c r="N71" s="217" t="e">
        <f>IF($H$59="N/A",0,$H$59*D71)</f>
        <v>#N/A</v>
      </c>
      <c r="O71" s="217" t="e">
        <f>IF($H$59="N/A",0,$H$59*E71)</f>
        <v>#N/A</v>
      </c>
      <c r="P71" s="112"/>
      <c r="Q71" s="112"/>
      <c r="R71" s="112"/>
      <c r="S71" s="112"/>
      <c r="T71" s="112"/>
      <c r="U71" s="112"/>
      <c r="V71" s="112"/>
      <c r="W71" s="112"/>
      <c r="X71" s="112"/>
      <c r="Y71" s="147"/>
      <c r="Z71" s="279"/>
      <c r="AQ71" s="246"/>
      <c r="AR71" s="246"/>
    </row>
    <row r="72" spans="1:44" ht="20.100000000000001" customHeight="1">
      <c r="A72" s="203" t="s">
        <v>21</v>
      </c>
      <c r="B72" s="22" t="e">
        <f>$B$60</f>
        <v>#N/A</v>
      </c>
      <c r="C72" s="17" t="e">
        <f>$C$60</f>
        <v>#N/A</v>
      </c>
      <c r="D72" s="51" t="e">
        <f>IF($B$72="None",0,COS(RADIANS($I$60)))</f>
        <v>#N/A</v>
      </c>
      <c r="E72" s="51" t="e">
        <f>IF($B$72="None",0,SIN(RADIANS($I$60)))</f>
        <v>#N/A</v>
      </c>
      <c r="F72" s="18" t="e">
        <f>IF(D60="N/A",0,D60*D72)</f>
        <v>#N/A</v>
      </c>
      <c r="G72" s="18" t="e">
        <f>IF(D60="N/A",0,D60*E72)</f>
        <v>#N/A</v>
      </c>
      <c r="H72" s="18" t="e">
        <f>IF($E$60="N/A",0,E60*D72)</f>
        <v>#N/A</v>
      </c>
      <c r="I72" s="18" t="e">
        <f>IF($E$60="N/A",0,E60*E72)</f>
        <v>#N/A</v>
      </c>
      <c r="J72" s="18" t="e">
        <f>IF(F60="N/A",0,F60*D72)</f>
        <v>#N/A</v>
      </c>
      <c r="K72" s="18" t="e">
        <f>IF(F60="N/A",0,F60*E72)</f>
        <v>#N/A</v>
      </c>
      <c r="L72" s="217" t="e">
        <f>IF(G60="N/A",0,G60*D72)</f>
        <v>#N/A</v>
      </c>
      <c r="M72" s="217" t="e">
        <f>IF(G60="N/A",0,G60*E72)</f>
        <v>#N/A</v>
      </c>
      <c r="N72" s="217" t="e">
        <f>IF($H$60="N/A",0,$H$60*D72)</f>
        <v>#N/A</v>
      </c>
      <c r="O72" s="217" t="e">
        <f>IF($H$60="N/A",0,$H$60*E72)</f>
        <v>#N/A</v>
      </c>
      <c r="P72" s="112"/>
      <c r="Q72" s="112"/>
      <c r="R72" s="112"/>
      <c r="S72" s="112"/>
      <c r="T72" s="112"/>
      <c r="U72" s="112"/>
      <c r="V72" s="112"/>
      <c r="W72" s="112"/>
      <c r="X72" s="112"/>
      <c r="Y72" s="147"/>
      <c r="Z72" s="279"/>
      <c r="AQ72" s="246"/>
      <c r="AR72" s="246"/>
    </row>
    <row r="73" spans="1:44" ht="20.100000000000001" customHeight="1">
      <c r="A73" s="203" t="s">
        <v>22</v>
      </c>
      <c r="B73" s="22" t="e">
        <f>$B$61</f>
        <v>#N/A</v>
      </c>
      <c r="C73" s="17" t="e">
        <f>$C$61</f>
        <v>#N/A</v>
      </c>
      <c r="D73" s="51" t="e">
        <f>IF($B$73="None",0,COS(RADIANS($I$61)))</f>
        <v>#N/A</v>
      </c>
      <c r="E73" s="51" t="e">
        <f>IF($B$73="None",0,SIN(RADIANS($I$61)))</f>
        <v>#N/A</v>
      </c>
      <c r="F73" s="18" t="e">
        <f>IF(D61="N/A",0,D61*D73)</f>
        <v>#N/A</v>
      </c>
      <c r="G73" s="18" t="e">
        <f>IF(D61="N/A",0,D61*E73)</f>
        <v>#N/A</v>
      </c>
      <c r="H73" s="18" t="e">
        <f>IF($E$61="N/A",0,E61*D73)</f>
        <v>#N/A</v>
      </c>
      <c r="I73" s="18" t="e">
        <f>IF($E$61="N/A",0,E61*E73)</f>
        <v>#N/A</v>
      </c>
      <c r="J73" s="18" t="e">
        <f>IF(F61="N/A",0,F61*D73)</f>
        <v>#N/A</v>
      </c>
      <c r="K73" s="18" t="e">
        <f>IF(F61="N/A",0,F61*E73)</f>
        <v>#N/A</v>
      </c>
      <c r="L73" s="217" t="e">
        <f>IF(G61="N/A",0,G61*D73)</f>
        <v>#N/A</v>
      </c>
      <c r="M73" s="217" t="e">
        <f>IF(G61="N/A",0,G61*E73)</f>
        <v>#N/A</v>
      </c>
      <c r="N73" s="217" t="e">
        <f>IF($H$61="N/A",0,$H$61*D73)</f>
        <v>#N/A</v>
      </c>
      <c r="O73" s="217" t="e">
        <f>IF($H$61="N/A",0,$H$61*E73)</f>
        <v>#N/A</v>
      </c>
      <c r="P73" s="112"/>
      <c r="Q73" s="112"/>
      <c r="R73" s="112"/>
      <c r="S73" s="112"/>
      <c r="T73" s="112"/>
      <c r="U73" s="112"/>
      <c r="V73" s="112"/>
      <c r="W73" s="112"/>
      <c r="X73" s="112"/>
      <c r="Y73" s="147"/>
      <c r="Z73" s="279"/>
      <c r="AQ73" s="246"/>
    </row>
    <row r="74" spans="1:44" ht="20.100000000000001" customHeight="1">
      <c r="A74" s="13"/>
      <c r="B74" s="206"/>
      <c r="C74" s="19"/>
      <c r="D74" s="207"/>
      <c r="E74" s="207"/>
      <c r="F74" s="19"/>
      <c r="G74" s="19"/>
      <c r="H74" s="19"/>
      <c r="I74" s="19"/>
      <c r="J74" s="19"/>
      <c r="K74" s="19"/>
      <c r="L74" s="112"/>
      <c r="M74" s="112"/>
      <c r="N74" s="112"/>
      <c r="O74" s="112"/>
      <c r="P74" s="112"/>
      <c r="Q74" s="112"/>
      <c r="R74" s="112"/>
      <c r="S74" s="112"/>
      <c r="T74" s="112"/>
      <c r="U74" s="112"/>
      <c r="V74" s="112"/>
      <c r="W74" s="112"/>
      <c r="X74" s="112"/>
      <c r="Y74" s="147"/>
      <c r="Z74" s="279"/>
      <c r="AQ74" s="246"/>
    </row>
    <row r="75" spans="1:44" ht="20.100000000000001" customHeight="1">
      <c r="A75" s="13"/>
      <c r="B75" s="206"/>
      <c r="C75" s="19"/>
      <c r="D75" s="207"/>
      <c r="E75" s="207"/>
      <c r="F75" s="19"/>
      <c r="G75" s="19"/>
      <c r="H75" s="19"/>
      <c r="I75" s="19"/>
      <c r="J75" s="19"/>
      <c r="K75" s="19"/>
      <c r="L75" s="112"/>
      <c r="M75" s="112"/>
      <c r="N75" s="112"/>
      <c r="O75" s="112"/>
      <c r="P75" s="112"/>
      <c r="Q75" s="112"/>
      <c r="R75" s="112"/>
      <c r="S75" s="112"/>
      <c r="T75" s="112"/>
      <c r="U75" s="112"/>
      <c r="V75" s="112"/>
      <c r="W75" s="112"/>
      <c r="X75" s="112"/>
      <c r="Y75" s="147"/>
      <c r="Z75" s="279"/>
      <c r="AQ75" s="246"/>
    </row>
    <row r="76" spans="1:44" ht="20.100000000000001" customHeight="1">
      <c r="A76" s="13"/>
      <c r="B76" s="206"/>
      <c r="C76" s="19"/>
      <c r="D76" s="207"/>
      <c r="E76" s="207"/>
      <c r="F76" s="19"/>
      <c r="G76" s="19"/>
      <c r="H76" s="19"/>
      <c r="I76" s="19"/>
      <c r="J76" s="19"/>
      <c r="K76" s="19"/>
      <c r="L76" s="112"/>
      <c r="M76" s="112"/>
      <c r="N76" s="112"/>
      <c r="O76" s="112"/>
      <c r="P76" s="112"/>
      <c r="Q76" s="112"/>
      <c r="R76" s="112"/>
      <c r="S76" s="112"/>
      <c r="T76" s="112"/>
      <c r="U76" s="112"/>
      <c r="V76" s="112"/>
      <c r="W76" s="112"/>
      <c r="X76" s="112"/>
      <c r="Y76" s="147"/>
      <c r="Z76" s="279"/>
      <c r="AQ76" s="246"/>
    </row>
    <row r="77" spans="1:44" ht="15" customHeight="1">
      <c r="A77" s="112"/>
      <c r="B77" s="112"/>
      <c r="C77" s="112"/>
      <c r="D77" s="112"/>
      <c r="E77" s="112"/>
      <c r="F77" s="112"/>
      <c r="G77" s="112"/>
      <c r="H77" s="112"/>
      <c r="I77" s="112"/>
      <c r="J77" s="112"/>
      <c r="K77" s="112"/>
      <c r="L77" s="112"/>
      <c r="M77" s="112"/>
      <c r="N77" s="112"/>
      <c r="O77" s="112"/>
      <c r="P77" s="112"/>
      <c r="Q77" s="112"/>
      <c r="R77" s="112"/>
      <c r="S77" s="112"/>
      <c r="T77" s="112"/>
      <c r="U77" s="112"/>
      <c r="V77" s="112"/>
      <c r="W77" s="112"/>
      <c r="X77" s="112"/>
      <c r="Y77" s="147"/>
      <c r="Z77" s="279"/>
      <c r="AQ77" s="246"/>
    </row>
    <row r="78" spans="1:44">
      <c r="A78" s="112"/>
      <c r="B78" s="112"/>
      <c r="C78" s="112"/>
      <c r="D78" s="112"/>
      <c r="E78" s="112"/>
      <c r="F78" s="112"/>
      <c r="G78" s="112"/>
      <c r="H78" s="112"/>
      <c r="I78" s="112"/>
      <c r="J78" s="112"/>
      <c r="K78" s="112"/>
      <c r="L78" s="112"/>
      <c r="M78" s="112"/>
      <c r="N78" s="112"/>
      <c r="O78" s="112"/>
      <c r="P78" s="112"/>
      <c r="Q78" s="112"/>
      <c r="R78" s="112"/>
      <c r="S78" s="112"/>
      <c r="T78" s="112"/>
      <c r="U78" s="112"/>
      <c r="V78" s="112"/>
      <c r="W78" s="112"/>
      <c r="X78" s="112"/>
      <c r="Y78" s="147"/>
      <c r="Z78" s="279"/>
      <c r="AQ78" s="246"/>
    </row>
    <row r="79" spans="1:44">
      <c r="A79" s="205" t="s">
        <v>274</v>
      </c>
      <c r="B79" s="112"/>
      <c r="C79" s="112"/>
      <c r="D79" s="112"/>
      <c r="E79" s="112"/>
      <c r="F79" s="112"/>
      <c r="G79" s="112"/>
      <c r="H79" s="112"/>
      <c r="I79" s="112"/>
      <c r="J79" s="112"/>
      <c r="K79" s="112"/>
      <c r="L79" s="112"/>
      <c r="M79" s="112"/>
      <c r="N79" s="112"/>
      <c r="O79" s="112"/>
      <c r="P79" s="112"/>
      <c r="Q79" s="112"/>
      <c r="R79" s="112"/>
      <c r="S79" s="112"/>
      <c r="T79" s="112"/>
      <c r="U79" s="112"/>
      <c r="V79" s="112"/>
      <c r="W79" s="112"/>
      <c r="X79" s="112"/>
      <c r="Y79" s="147"/>
      <c r="Z79" s="279"/>
      <c r="AQ79" s="246"/>
    </row>
    <row r="80" spans="1:44" ht="67.5" customHeight="1">
      <c r="A80" s="10" t="s">
        <v>23</v>
      </c>
      <c r="B80" s="10" t="s">
        <v>25</v>
      </c>
      <c r="C80" s="11" t="s">
        <v>4</v>
      </c>
      <c r="D80" s="109" t="s">
        <v>227</v>
      </c>
      <c r="E80" s="109" t="s">
        <v>229</v>
      </c>
      <c r="F80" s="109" t="s">
        <v>228</v>
      </c>
      <c r="G80" s="109" t="s">
        <v>230</v>
      </c>
      <c r="H80" s="10" t="s">
        <v>181</v>
      </c>
      <c r="I80" s="10" t="s">
        <v>301</v>
      </c>
      <c r="J80" s="10" t="s">
        <v>300</v>
      </c>
      <c r="K80" s="10" t="s">
        <v>243</v>
      </c>
      <c r="L80" s="10" t="s">
        <v>325</v>
      </c>
      <c r="M80" s="10" t="s">
        <v>302</v>
      </c>
      <c r="N80" s="52" t="s">
        <v>303</v>
      </c>
      <c r="O80" s="52" t="s">
        <v>304</v>
      </c>
      <c r="P80" s="15" t="s">
        <v>305</v>
      </c>
      <c r="Q80" s="52" t="s">
        <v>51</v>
      </c>
      <c r="R80" s="52" t="s">
        <v>63</v>
      </c>
      <c r="S80" s="53" t="s">
        <v>306</v>
      </c>
      <c r="T80" s="53" t="s">
        <v>307</v>
      </c>
      <c r="U80" s="14" t="s">
        <v>308</v>
      </c>
      <c r="V80" s="53" t="s">
        <v>50</v>
      </c>
      <c r="W80" s="53" t="s">
        <v>49</v>
      </c>
      <c r="X80" s="112"/>
      <c r="Y80" s="147"/>
      <c r="Z80" s="279"/>
      <c r="AQ80" s="246"/>
    </row>
    <row r="81" spans="1:43" ht="20.100000000000001" customHeight="1">
      <c r="A81" s="203" t="s">
        <v>34</v>
      </c>
      <c r="B81" s="22" t="e">
        <f>$B$57</f>
        <v>#N/A</v>
      </c>
      <c r="C81" s="17" t="e">
        <f>$C$57</f>
        <v>#N/A</v>
      </c>
      <c r="D81" s="21" t="e">
        <f>$B$42*$B$43</f>
        <v>#N/A</v>
      </c>
      <c r="E81" s="21" t="e">
        <f>$B$42*$B$44</f>
        <v>#N/A</v>
      </c>
      <c r="F81" s="21" t="e">
        <f>$B$45*$B$46</f>
        <v>#N/A</v>
      </c>
      <c r="G81" s="21" t="e">
        <f>$B$45*$B$47</f>
        <v>#N/A</v>
      </c>
      <c r="H81" s="21" t="e">
        <f>IF(B81="None","N/A",(LOOKUP(B81,'Info Tables'!$A$119:$A$195,'Info Tables'!$H$119:$H$195)))</f>
        <v>#N/A</v>
      </c>
      <c r="I81" s="16" t="e">
        <f>IF(B81="None","N/A",(LOOKUP($C$41,'Info Tables'!$A$203:$A$219,'Info Tables'!$C$203:$C$219)))</f>
        <v>#N/A</v>
      </c>
      <c r="J81" s="3" t="e">
        <f>IF(B81="None","N/A",1*(LOOKUP($C$41,'Info Tables'!$A$203:$A$219,'Info Tables'!$K$203:$K$219)))</f>
        <v>#N/A</v>
      </c>
      <c r="K81" s="3" t="e">
        <f>IF(J81&gt;50,0.8,1)</f>
        <v>#N/A</v>
      </c>
      <c r="L81" s="3" t="e">
        <f>IF(B81="None","N/A",(LOOKUP($C$41,'Info Tables'!$A$303:$A$342,'Info Tables'!$C$303:$C$342)))</f>
        <v>#N/A</v>
      </c>
      <c r="M81" s="3" t="e">
        <f>IF(B81="None","N/A",(LOOKUP($C$41,'Info Tables'!$A$353:$A$392,'Info Tables'!$C$353:$C$392)))</f>
        <v>#N/A</v>
      </c>
      <c r="N81" s="82" t="e">
        <f>IF($B$81="None","N/A",D81*L81)</f>
        <v>#N/A</v>
      </c>
      <c r="O81" s="82" t="e">
        <f>IF($B$81="None","N/A",$L$81*D81^3/12)</f>
        <v>#N/A</v>
      </c>
      <c r="P81" s="82" t="e">
        <f>IF(OR(B81="None",N81=0),"N/A",SQRT(O81/N81))</f>
        <v>#N/A</v>
      </c>
      <c r="Q81" s="82" t="e">
        <f>IF(OR(B81="None",P81="N/A"),"N/A",($B$26*M81/P81))</f>
        <v>#N/A</v>
      </c>
      <c r="R81" s="82" t="e">
        <f>IF(OR(B81="None",Q81="N/A"),"N/A",IF(Q81&lt;=$B$30,($B$20/$B$31)*(1-(Q81^2*$B$20/(4*(PI())^2*$B$22))),(PI()^2*$B$22/($B$31*Q81^2))))</f>
        <v>#N/A</v>
      </c>
      <c r="S81" s="208" t="e">
        <f>IF($B$81="None","N/A",F81*L81)</f>
        <v>#N/A</v>
      </c>
      <c r="T81" s="208" t="e">
        <f>IF($B$81="None","N/A",$L$81*F81^3/12)</f>
        <v>#N/A</v>
      </c>
      <c r="U81" s="208" t="e">
        <f>IF(OR(B81="None",S81=0),"N/A",SQRT(T81/S81))</f>
        <v>#N/A</v>
      </c>
      <c r="V81" s="208" t="e">
        <f>IF(OR(B81="None",U81="N/A"),"N/A",($B$26*M81/U81))</f>
        <v>#N/A</v>
      </c>
      <c r="W81" s="208" t="e">
        <f>IF(OR(B81="None",V81="N/A"),"N/A",IF(V81&lt;=$B$30,($B$20/$B$31)*(1-(V81^2*$B$20/(4*(PI())^2*$B$22))),(PI()^2*$B$22/($B$31*V81^2))))</f>
        <v>#N/A</v>
      </c>
      <c r="X81" s="112"/>
      <c r="Y81" s="147"/>
      <c r="Z81" s="279"/>
      <c r="AQ81" s="246"/>
    </row>
    <row r="82" spans="1:43" ht="20.100000000000001" customHeight="1">
      <c r="A82" s="203" t="s">
        <v>35</v>
      </c>
      <c r="B82" s="22" t="e">
        <f>$B$58</f>
        <v>#N/A</v>
      </c>
      <c r="C82" s="17" t="e">
        <f>$C$58</f>
        <v>#N/A</v>
      </c>
      <c r="D82" s="21" t="e">
        <f>$B$42*$B$43</f>
        <v>#N/A</v>
      </c>
      <c r="E82" s="21" t="e">
        <f>$B$42*$B$44</f>
        <v>#N/A</v>
      </c>
      <c r="F82" s="21" t="e">
        <f>$B$45*$B$46</f>
        <v>#N/A</v>
      </c>
      <c r="G82" s="21" t="e">
        <f>$B$45*$B$47</f>
        <v>#N/A</v>
      </c>
      <c r="H82" s="21" t="e">
        <f>IF(B82="None","N/A",(LOOKUP(B82,'Info Tables'!$A$119:$A$195,'Info Tables'!$H$119:$H$195)))</f>
        <v>#N/A</v>
      </c>
      <c r="I82" s="16" t="e">
        <f>IF(B82="None","N/A",(LOOKUP($C$41,'Info Tables'!$A$203:$A$219,'Info Tables'!$D$203:$D$219)))</f>
        <v>#N/A</v>
      </c>
      <c r="J82" s="3" t="e">
        <f>IF(B82="None","N/A",1*(LOOKUP($C$41,'Info Tables'!$A$203:$A$219,'Info Tables'!$L$203:$L$219)))</f>
        <v>#N/A</v>
      </c>
      <c r="K82" s="3" t="e">
        <f>IF(J82&gt;50,0.8,1)</f>
        <v>#N/A</v>
      </c>
      <c r="L82" s="3" t="e">
        <f>IF(B82="None","N/A",(LOOKUP($C$41,'Info Tables'!$A$303:$A$342,'Info Tables'!$D$303:$D$342)))</f>
        <v>#N/A</v>
      </c>
      <c r="M82" s="3" t="e">
        <f>IF(B82="None","N/A",(LOOKUP($C$41,'Info Tables'!$A$353:$A$392,'Info Tables'!$D$353:$D$392)))</f>
        <v>#N/A</v>
      </c>
      <c r="N82" s="82" t="e">
        <f>IF($B$82="None","N/A",D82*L82)</f>
        <v>#N/A</v>
      </c>
      <c r="O82" s="82" t="e">
        <f>IF($B$82="None","N/A",$L$82*D82^3/12)</f>
        <v>#N/A</v>
      </c>
      <c r="P82" s="82" t="e">
        <f>IF(OR(B82="None",N82=0),"N/A",SQRT(O82/N82))</f>
        <v>#N/A</v>
      </c>
      <c r="Q82" s="82" t="e">
        <f>IF(OR(B82="None",P82="N/A"),"N/A",($B$26*M82/P82))</f>
        <v>#N/A</v>
      </c>
      <c r="R82" s="82" t="e">
        <f>IF(OR(B82="None",Q82="N/A"),"N/A",IF(Q82&lt;=$B$30,($B$20/$B$31)*(1-(Q82^2*$B$20/(4*(PI())^2*$B$22))),(PI()^2*$B$22/($B$31*Q82^2))))</f>
        <v>#N/A</v>
      </c>
      <c r="S82" s="208" t="e">
        <f>IF($B$82="None","N/A",F82*L82)</f>
        <v>#N/A</v>
      </c>
      <c r="T82" s="208" t="e">
        <f>IF($B$82="None","N/A",$L$82*F82^3/12)</f>
        <v>#N/A</v>
      </c>
      <c r="U82" s="208" t="e">
        <f>IF(OR(B82="None",S82=0),"N/A",SQRT(T82/S82))</f>
        <v>#N/A</v>
      </c>
      <c r="V82" s="208" t="e">
        <f>IF(OR(B82="None",U82="N/A"),"N/A",($B$26*M82/U82))</f>
        <v>#N/A</v>
      </c>
      <c r="W82" s="208" t="e">
        <f>IF(OR(B82="None",V82="N/A"),"N/A",IF(V82&lt;=$B$30,($B$20/$B$31)*(1-(V82^2*$B$20/(4*(PI())^2*$B$22))),(PI()^2*$B$22/($B$31*V82^2))))</f>
        <v>#N/A</v>
      </c>
      <c r="X82" s="112"/>
      <c r="Y82" s="147"/>
      <c r="Z82" s="279"/>
      <c r="AQ82" s="246"/>
    </row>
    <row r="83" spans="1:43" ht="20.100000000000001" customHeight="1">
      <c r="A83" s="203" t="s">
        <v>20</v>
      </c>
      <c r="B83" s="22" t="e">
        <f>$B$59</f>
        <v>#N/A</v>
      </c>
      <c r="C83" s="17" t="e">
        <f>$C$59</f>
        <v>#N/A</v>
      </c>
      <c r="D83" s="21" t="e">
        <f>$B$42*$B$43</f>
        <v>#N/A</v>
      </c>
      <c r="E83" s="21" t="e">
        <f>$B$42*$B$44</f>
        <v>#N/A</v>
      </c>
      <c r="F83" s="21" t="e">
        <f>$B$45*$B$46</f>
        <v>#N/A</v>
      </c>
      <c r="G83" s="21" t="e">
        <f>$B$45*$B$47</f>
        <v>#N/A</v>
      </c>
      <c r="H83" s="21" t="e">
        <f>IF(B83="None","N/A",(LOOKUP(B83,'Info Tables'!$A$119:$A$195,'Info Tables'!$H$119:$H$195)))</f>
        <v>#N/A</v>
      </c>
      <c r="I83" s="16" t="e">
        <f>IF(B83="None","N/A",(LOOKUP($C$41,'Info Tables'!$A$203:$A$219,'Info Tables'!$E$203:$E$219)))</f>
        <v>#N/A</v>
      </c>
      <c r="J83" s="3" t="e">
        <f>IF(B83="None","N/A",1*(LOOKUP($C$41,'Info Tables'!$A$203:$A$219,'Info Tables'!$M$203:$M$219)))</f>
        <v>#N/A</v>
      </c>
      <c r="K83" s="3" t="e">
        <f>IF(J83&gt;50,0.8,1)</f>
        <v>#N/A</v>
      </c>
      <c r="L83" s="3" t="e">
        <f>IF(B83="None","N/A",(LOOKUP($C$41,'Info Tables'!$A$303:$A$342,'Info Tables'!$E$303:$E$342)))</f>
        <v>#N/A</v>
      </c>
      <c r="M83" s="3" t="e">
        <f>IF(B83="None","N/A",(LOOKUP($C$41,'Info Tables'!$A$353:$A$392,'Info Tables'!$E$353:$E$392)))</f>
        <v>#N/A</v>
      </c>
      <c r="N83" s="82" t="e">
        <f>IF($B$83="None","N/A",D83*L83)</f>
        <v>#N/A</v>
      </c>
      <c r="O83" s="82" t="e">
        <f>IF($B$83="None","N/A",$L$83*D83^3/12)</f>
        <v>#N/A</v>
      </c>
      <c r="P83" s="82" t="e">
        <f>IF(OR(B83="None",N83=0),"N/A",SQRT(O83/N83))</f>
        <v>#N/A</v>
      </c>
      <c r="Q83" s="82" t="e">
        <f>IF(OR(B83="None",P83="N/A"),"N/A",($B$26*M83/P83))</f>
        <v>#N/A</v>
      </c>
      <c r="R83" s="82" t="e">
        <f>IF(OR(B83="None",Q83="N/A"),"N/A",IF(Q83&lt;=$B$30,($B$20/$B$31)*(1-(Q83^2*$B$20/(4*(PI())^2*$B$22))),(PI()^2*$B$22/($B$31*Q83^2))))</f>
        <v>#N/A</v>
      </c>
      <c r="S83" s="208" t="e">
        <f>IF($B$83="None","N/A",F83*L83)</f>
        <v>#N/A</v>
      </c>
      <c r="T83" s="208" t="e">
        <f>IF($B$83="None","N/A",$L$83*F83^3/12)</f>
        <v>#N/A</v>
      </c>
      <c r="U83" s="208" t="e">
        <f>IF(OR(B83="None",S83=0),"N/A",SQRT(T83/S83))</f>
        <v>#N/A</v>
      </c>
      <c r="V83" s="208" t="e">
        <f>IF(OR(B83="None",U83="N/A"),"N/A",($B$26*M83/U83))</f>
        <v>#N/A</v>
      </c>
      <c r="W83" s="208" t="e">
        <f>IF(OR(B83="None",V83="N/A"),"N/A",IF(V83&lt;=$B$30,($B$20/$B$31)*(1-(V83^2*$B$20/(4*(PI())^2*$B$22))),(PI()^2*$B$22/($B$31*V83^2))))</f>
        <v>#N/A</v>
      </c>
      <c r="X83" s="112"/>
      <c r="Y83" s="147"/>
      <c r="Z83" s="279"/>
      <c r="AQ83" s="246"/>
    </row>
    <row r="84" spans="1:43" ht="20.100000000000001" customHeight="1">
      <c r="A84" s="203" t="s">
        <v>21</v>
      </c>
      <c r="B84" s="22" t="e">
        <f>$B$60</f>
        <v>#N/A</v>
      </c>
      <c r="C84" s="17" t="e">
        <f>$C$60</f>
        <v>#N/A</v>
      </c>
      <c r="D84" s="21" t="e">
        <f>$B$42*$B$43</f>
        <v>#N/A</v>
      </c>
      <c r="E84" s="21" t="e">
        <f>$B$42*$B$44</f>
        <v>#N/A</v>
      </c>
      <c r="F84" s="21" t="e">
        <f>$B$45*$B$46</f>
        <v>#N/A</v>
      </c>
      <c r="G84" s="21" t="e">
        <f>$B$45*$B$47</f>
        <v>#N/A</v>
      </c>
      <c r="H84" s="21" t="e">
        <f>IF(B84="None","N/A",(LOOKUP(B84,'Info Tables'!$A$119:$A$195,'Info Tables'!$H$119:$H$195)))</f>
        <v>#N/A</v>
      </c>
      <c r="I84" s="16" t="e">
        <f>IF(B84="None","N/A",(LOOKUP($C$41,'Info Tables'!$A$203:$A$219,'Info Tables'!$F$203:$F$219)))</f>
        <v>#N/A</v>
      </c>
      <c r="J84" s="3" t="e">
        <f>IF(B84="None","N/A",1*(LOOKUP($C$41,'Info Tables'!$A$203:$A$219,'Info Tables'!$N$203:$N$219)))</f>
        <v>#N/A</v>
      </c>
      <c r="K84" s="3" t="e">
        <f>IF(J84&gt;50,0.8,1)</f>
        <v>#N/A</v>
      </c>
      <c r="L84" s="3" t="e">
        <f>IF(B84="None","N/A",(LOOKUP($C$41,'Info Tables'!$A$303:$A$342,'Info Tables'!$F$303:$F$342)))</f>
        <v>#N/A</v>
      </c>
      <c r="M84" s="3" t="e">
        <f>IF(B84="None","N/A",(LOOKUP($C$41,'Info Tables'!$A$353:$A$392,'Info Tables'!$F$353:$F$392)))</f>
        <v>#N/A</v>
      </c>
      <c r="N84" s="82" t="e">
        <f>IF($B$84="None","N/A",D84*L84)</f>
        <v>#N/A</v>
      </c>
      <c r="O84" s="82" t="e">
        <f>IF($B$84="None","N/A",$L$84*D84^3/12)</f>
        <v>#N/A</v>
      </c>
      <c r="P84" s="82" t="e">
        <f>IF(OR(B84="None",N84=0),"N/A",SQRT(O84/N84))</f>
        <v>#N/A</v>
      </c>
      <c r="Q84" s="82" t="e">
        <f>IF(OR(B84="None",P84="N/A"),"N/A",($B$26*M84/P84))</f>
        <v>#N/A</v>
      </c>
      <c r="R84" s="82" t="e">
        <f>IF(OR(B84="None",Q84="N/A"),"N/A",IF(Q84&lt;=$B$30,($B$20/$B$31)*(1-(Q84^2*$B$20/(4*(PI())^2*$B$22))),(PI()^2*$B$22/($B$31*Q84^2))))</f>
        <v>#N/A</v>
      </c>
      <c r="S84" s="208" t="e">
        <f>IF($B$84="None","N/A",F84*L84)</f>
        <v>#N/A</v>
      </c>
      <c r="T84" s="208" t="e">
        <f>IF($B$84="None","N/A",$L$84*F84^3/12)</f>
        <v>#N/A</v>
      </c>
      <c r="U84" s="208" t="e">
        <f>IF(OR(B84="None",S84=0),"N/A",SQRT(T84/S84))</f>
        <v>#N/A</v>
      </c>
      <c r="V84" s="208" t="e">
        <f>IF(OR(B84="None",U84="N/A"),"N/A",($B$26*M84/U84))</f>
        <v>#N/A</v>
      </c>
      <c r="W84" s="208" t="e">
        <f>IF(OR(B84="None",V84="N/A"),"N/A",IF(V84&lt;=$B$30,($B$20/$B$31)*(1-(V84^2*$B$20/(4*(PI())^2*$B$22))),(PI()^2*$B$22/($B$31*V84^2))))</f>
        <v>#N/A</v>
      </c>
      <c r="X84" s="112"/>
      <c r="Y84" s="147"/>
      <c r="Z84" s="279"/>
      <c r="AQ84" s="246"/>
    </row>
    <row r="85" spans="1:43" ht="20.100000000000001" customHeight="1">
      <c r="A85" s="203" t="s">
        <v>22</v>
      </c>
      <c r="B85" s="22" t="e">
        <f>$B$61</f>
        <v>#N/A</v>
      </c>
      <c r="C85" s="17" t="e">
        <f>$C$61</f>
        <v>#N/A</v>
      </c>
      <c r="D85" s="21" t="e">
        <f>$B$42*$B$43</f>
        <v>#N/A</v>
      </c>
      <c r="E85" s="21" t="e">
        <f>$B$42*$B$44</f>
        <v>#N/A</v>
      </c>
      <c r="F85" s="21" t="e">
        <f>$B$45*$B$46</f>
        <v>#N/A</v>
      </c>
      <c r="G85" s="21" t="e">
        <f>$B$45*$B$47</f>
        <v>#N/A</v>
      </c>
      <c r="H85" s="21" t="e">
        <f>IF(B85="None","N/A",(LOOKUP(B85,'Info Tables'!$A$119:$A$195,'Info Tables'!$H$119:$H$195)))</f>
        <v>#N/A</v>
      </c>
      <c r="I85" s="16" t="e">
        <f>IF(B85="None","N/A",(LOOKUP($C$41,'Info Tables'!$A$203:$A$219,'Info Tables'!$G$203:$G$219)))</f>
        <v>#N/A</v>
      </c>
      <c r="J85" s="3" t="e">
        <f>IF(B85="None","N/A",1*(LOOKUP($C$41,'Info Tables'!$A$203:$A$219,'Info Tables'!$O$203:$O$219)))</f>
        <v>#N/A</v>
      </c>
      <c r="K85" s="3" t="e">
        <f>IF(J85&gt;50,0.8,1)</f>
        <v>#N/A</v>
      </c>
      <c r="L85" s="3" t="e">
        <f>IF(B85="None","N/A",(LOOKUP($C$41,'Info Tables'!$A$303:$A$342,'Info Tables'!$G$303:$G$342)))</f>
        <v>#N/A</v>
      </c>
      <c r="M85" s="3" t="e">
        <f>IF(B85="None","N/A",(LOOKUP($C$41,'Info Tables'!$A$353:$A$392,'Info Tables'!$G$353:$G$392)))</f>
        <v>#N/A</v>
      </c>
      <c r="N85" s="82" t="e">
        <f>IF($B$85="None","N/A",D85*L85)</f>
        <v>#N/A</v>
      </c>
      <c r="O85" s="82" t="e">
        <f>IF($B$85="None","N/A",$L$85*D85^3/12)</f>
        <v>#N/A</v>
      </c>
      <c r="P85" s="82" t="e">
        <f>IF(OR(B85="None",N85=0),"N/A",SQRT(O85/N85))</f>
        <v>#N/A</v>
      </c>
      <c r="Q85" s="82" t="e">
        <f>IF(OR(B85="None",P85="N/A"),"N/A",($B$26*M85/P85))</f>
        <v>#N/A</v>
      </c>
      <c r="R85" s="82" t="e">
        <f>IF(OR(B85="None",Q85="N/A"),"N/A",IF(Q85&lt;=$B$30,($B$20/$B$31)*(1-(Q85^2*$B$20/(4*(PI())^2*$B$22))),(PI()^2*$B$22/($B$31*Q85^2))))</f>
        <v>#N/A</v>
      </c>
      <c r="S85" s="208" t="e">
        <f>IF($B$85="None","N/A",F85*L85)</f>
        <v>#N/A</v>
      </c>
      <c r="T85" s="208" t="e">
        <f>IF($B$85="None","N/A",$L$85*F85^3/12)</f>
        <v>#N/A</v>
      </c>
      <c r="U85" s="208" t="e">
        <f>IF(OR(B85="None",S85=0),"N/A",SQRT(T85/S85))</f>
        <v>#N/A</v>
      </c>
      <c r="V85" s="208" t="e">
        <f>IF(OR(B85="None",U85="N/A"),"N/A",($B$26*M85/U85))</f>
        <v>#N/A</v>
      </c>
      <c r="W85" s="208" t="e">
        <f>IF(OR(B85="None",V85="N/A"),"N/A",IF(V85&lt;=$B$30,($B$20/$B$31)*(1-(V85^2*$B$20/(4*(PI())^2*$B$22))),(PI()^2*$B$22/($B$31*V85^2))))</f>
        <v>#N/A</v>
      </c>
      <c r="X85" s="112"/>
      <c r="Y85" s="147"/>
      <c r="Z85" s="279"/>
      <c r="AQ85" s="246"/>
    </row>
    <row r="86" spans="1:43" ht="15" customHeight="1">
      <c r="A86" s="112"/>
      <c r="B86" s="112"/>
      <c r="C86" s="112"/>
      <c r="D86" s="112"/>
      <c r="E86" s="112"/>
      <c r="F86" s="112"/>
      <c r="G86" s="112"/>
      <c r="H86" s="112"/>
      <c r="I86" s="100" t="s">
        <v>226</v>
      </c>
      <c r="J86" s="112"/>
      <c r="K86" s="112"/>
      <c r="L86" s="112"/>
      <c r="M86" s="112"/>
      <c r="N86" s="112"/>
      <c r="O86" s="112"/>
      <c r="P86" s="112"/>
      <c r="Q86" s="112"/>
      <c r="R86" s="112"/>
      <c r="S86" s="112"/>
      <c r="T86" s="112"/>
      <c r="U86" s="112"/>
      <c r="V86" s="112"/>
      <c r="W86" s="112"/>
      <c r="X86" s="112"/>
      <c r="Y86" s="147"/>
      <c r="Z86" s="279"/>
      <c r="AQ86" s="246"/>
    </row>
    <row r="87" spans="1:43">
      <c r="A87" s="112"/>
      <c r="B87" s="112"/>
      <c r="C87" s="112"/>
      <c r="D87" s="112"/>
      <c r="E87" s="112"/>
      <c r="F87" s="112"/>
      <c r="G87" s="112"/>
      <c r="H87" s="112"/>
      <c r="I87" s="112"/>
      <c r="J87" s="112"/>
      <c r="K87" s="112"/>
      <c r="L87" s="112"/>
      <c r="M87" s="112"/>
      <c r="N87" s="112"/>
      <c r="O87" s="112"/>
      <c r="P87" s="112"/>
      <c r="Q87" s="112"/>
      <c r="R87" s="112"/>
      <c r="S87" s="112"/>
      <c r="T87" s="112"/>
      <c r="U87" s="112"/>
      <c r="V87" s="112"/>
      <c r="W87" s="112"/>
      <c r="X87" s="112"/>
      <c r="Y87" s="147"/>
      <c r="Z87" s="279"/>
      <c r="AQ87" s="246"/>
    </row>
    <row r="88" spans="1:43">
      <c r="A88" s="112"/>
      <c r="B88" s="112"/>
      <c r="C88" s="112"/>
      <c r="D88" s="112"/>
      <c r="E88" s="112"/>
      <c r="F88" s="112"/>
      <c r="G88" s="112"/>
      <c r="H88" s="112"/>
      <c r="I88" s="112"/>
      <c r="J88" s="112"/>
      <c r="K88" s="112"/>
      <c r="L88" s="112"/>
      <c r="M88" s="112"/>
      <c r="N88" s="112"/>
      <c r="O88" s="112"/>
      <c r="P88" s="112"/>
      <c r="Q88" s="112"/>
      <c r="R88" s="112"/>
      <c r="S88" s="112"/>
      <c r="T88" s="112"/>
      <c r="U88" s="112"/>
      <c r="V88" s="112"/>
      <c r="W88" s="112"/>
      <c r="X88" s="112"/>
      <c r="Y88" s="147"/>
      <c r="Z88" s="279"/>
      <c r="AQ88" s="246"/>
    </row>
    <row r="89" spans="1:43">
      <c r="A89" s="112"/>
      <c r="B89" s="112"/>
      <c r="C89" s="112"/>
      <c r="D89" s="112"/>
      <c r="E89" s="112"/>
      <c r="F89" s="112"/>
      <c r="G89" s="112"/>
      <c r="H89" s="112"/>
      <c r="I89" s="112"/>
      <c r="J89" s="112"/>
      <c r="K89" s="112"/>
      <c r="L89" s="112"/>
      <c r="M89" s="112"/>
      <c r="N89" s="112"/>
      <c r="O89" s="112"/>
      <c r="P89" s="112"/>
      <c r="Q89" s="112"/>
      <c r="R89" s="112"/>
      <c r="S89" s="112"/>
      <c r="T89" s="112"/>
      <c r="U89" s="112"/>
      <c r="V89" s="112"/>
      <c r="W89" s="112"/>
      <c r="X89" s="112"/>
      <c r="Y89" s="147"/>
      <c r="Z89" s="279"/>
      <c r="AQ89" s="246"/>
    </row>
    <row r="90" spans="1:43">
      <c r="A90" s="112"/>
      <c r="B90" s="112"/>
      <c r="C90" s="112"/>
      <c r="D90" s="112"/>
      <c r="E90" s="112"/>
      <c r="F90" s="112"/>
      <c r="G90" s="112"/>
      <c r="H90" s="112"/>
      <c r="I90" s="112"/>
      <c r="J90" s="112"/>
      <c r="K90" s="112"/>
      <c r="L90" s="112"/>
      <c r="M90" s="112"/>
      <c r="N90" s="112"/>
      <c r="O90" s="112"/>
      <c r="P90" s="112"/>
      <c r="Q90" s="112"/>
      <c r="R90" s="112"/>
      <c r="S90" s="112"/>
      <c r="T90" s="112"/>
      <c r="U90" s="112"/>
      <c r="V90" s="112"/>
      <c r="W90" s="112"/>
      <c r="X90" s="112"/>
      <c r="Y90" s="147"/>
      <c r="Z90" s="279"/>
      <c r="AQ90" s="246"/>
    </row>
    <row r="91" spans="1:43">
      <c r="A91" s="112"/>
      <c r="B91" s="112"/>
      <c r="C91" s="112"/>
      <c r="D91" s="112"/>
      <c r="E91" s="112"/>
      <c r="F91" s="112"/>
      <c r="G91" s="112"/>
      <c r="H91" s="112"/>
      <c r="I91" s="112"/>
      <c r="J91" s="112"/>
      <c r="K91" s="112"/>
      <c r="L91" s="112"/>
      <c r="M91" s="112"/>
      <c r="N91" s="112"/>
      <c r="O91" s="112"/>
      <c r="P91" s="112"/>
      <c r="Q91" s="112"/>
      <c r="R91" s="112"/>
      <c r="S91" s="112"/>
      <c r="T91" s="112"/>
      <c r="U91" s="112"/>
      <c r="V91" s="112"/>
      <c r="W91" s="112"/>
      <c r="X91" s="112"/>
      <c r="Y91" s="147"/>
      <c r="Z91" s="279"/>
      <c r="AQ91" s="246"/>
    </row>
    <row r="92" spans="1:43" ht="18">
      <c r="A92" s="89" t="s">
        <v>52</v>
      </c>
      <c r="B92" s="112"/>
      <c r="C92" s="112"/>
      <c r="D92" s="112"/>
      <c r="E92" s="112"/>
      <c r="F92" s="112"/>
      <c r="G92" s="112"/>
      <c r="H92" s="112"/>
      <c r="I92" s="112"/>
      <c r="J92" s="112"/>
      <c r="K92" s="112"/>
      <c r="L92" s="112"/>
      <c r="M92" s="112"/>
      <c r="N92" s="112"/>
      <c r="O92" s="112"/>
      <c r="P92" s="112"/>
      <c r="Q92" s="112"/>
      <c r="R92" s="112"/>
      <c r="S92" s="112"/>
      <c r="T92" s="112"/>
      <c r="U92" s="112"/>
      <c r="V92" s="112"/>
      <c r="W92" s="112"/>
      <c r="X92" s="112"/>
      <c r="Y92" s="147"/>
      <c r="Z92" s="279"/>
      <c r="AQ92" s="246"/>
    </row>
    <row r="93" spans="1:43">
      <c r="A93" s="112"/>
      <c r="B93" s="112"/>
      <c r="C93" s="112"/>
      <c r="D93" s="112"/>
      <c r="E93" s="112"/>
      <c r="F93" s="112"/>
      <c r="G93" s="112"/>
      <c r="H93" s="112"/>
      <c r="I93" s="112"/>
      <c r="J93" s="112"/>
      <c r="K93" s="112"/>
      <c r="L93" s="112"/>
      <c r="M93" s="112"/>
      <c r="N93" s="112"/>
      <c r="O93" s="112"/>
      <c r="P93" s="112"/>
      <c r="Q93" s="112"/>
      <c r="R93" s="112"/>
      <c r="S93" s="112"/>
      <c r="T93" s="112"/>
      <c r="U93" s="112"/>
      <c r="V93" s="112"/>
      <c r="W93" s="112"/>
      <c r="X93" s="112"/>
      <c r="Y93" s="147"/>
      <c r="Z93" s="279"/>
    </row>
    <row r="94" spans="1:43">
      <c r="A94" s="112"/>
      <c r="B94" s="112"/>
      <c r="C94" s="112"/>
      <c r="D94" s="112"/>
      <c r="E94" s="112"/>
      <c r="F94" s="112"/>
      <c r="G94" s="112"/>
      <c r="H94" s="112"/>
      <c r="I94" s="112"/>
      <c r="J94" s="112"/>
      <c r="K94" s="112"/>
      <c r="L94" s="112"/>
      <c r="M94" s="112"/>
      <c r="N94" s="112"/>
      <c r="O94" s="112"/>
      <c r="P94" s="112"/>
      <c r="Q94" s="112"/>
      <c r="R94" s="112"/>
      <c r="S94" s="112"/>
      <c r="T94" s="112"/>
      <c r="U94" s="112"/>
      <c r="V94" s="112"/>
      <c r="W94" s="112"/>
      <c r="X94" s="112"/>
      <c r="Y94" s="147"/>
      <c r="Z94" s="279"/>
      <c r="AB94" s="281" t="s">
        <v>108</v>
      </c>
      <c r="AC94" s="281"/>
    </row>
    <row r="95" spans="1:43">
      <c r="A95" s="93" t="s">
        <v>220</v>
      </c>
      <c r="B95" s="112"/>
      <c r="C95" s="112"/>
      <c r="D95" s="112"/>
      <c r="E95" s="112"/>
      <c r="F95" s="112"/>
      <c r="G95" s="112"/>
      <c r="H95" s="112"/>
      <c r="I95" s="112"/>
      <c r="J95" s="112"/>
      <c r="K95" s="112"/>
      <c r="L95" s="112"/>
      <c r="M95" s="112"/>
      <c r="N95" s="112"/>
      <c r="O95" s="112"/>
      <c r="P95" s="112"/>
      <c r="Q95" s="112"/>
      <c r="R95" s="112"/>
      <c r="S95" s="112"/>
      <c r="T95" s="112"/>
      <c r="U95" s="112"/>
      <c r="V95" s="112"/>
      <c r="W95" s="112"/>
      <c r="X95" s="112"/>
      <c r="Y95" s="147"/>
      <c r="Z95" s="279"/>
      <c r="AB95" s="282" t="s">
        <v>10</v>
      </c>
      <c r="AC95" s="283" t="e">
        <f>IF(SUM(AC105:AC106)=0,"OK","NG")</f>
        <v>#N/A</v>
      </c>
      <c r="AD95" s="284" t="str">
        <f>A95</f>
        <v>1: Gusset Plate Minimum Edge Stiffness</v>
      </c>
      <c r="AE95" s="285"/>
      <c r="AF95" s="285"/>
      <c r="AG95" s="285"/>
      <c r="AH95" s="285"/>
      <c r="AI95" s="285"/>
      <c r="AJ95" s="285"/>
      <c r="AK95" s="285"/>
    </row>
    <row r="96" spans="1:43">
      <c r="A96" s="112"/>
      <c r="B96" s="112"/>
      <c r="C96" s="112"/>
      <c r="D96" s="112"/>
      <c r="E96" s="112"/>
      <c r="F96" s="112"/>
      <c r="G96" s="112"/>
      <c r="H96" s="112"/>
      <c r="I96" s="112"/>
      <c r="J96" s="112"/>
      <c r="K96" s="112"/>
      <c r="L96" s="112"/>
      <c r="M96" s="112"/>
      <c r="N96" s="112"/>
      <c r="O96" s="112"/>
      <c r="P96" s="112"/>
      <c r="Q96" s="112"/>
      <c r="R96" s="112"/>
      <c r="S96" s="112"/>
      <c r="T96" s="112"/>
      <c r="U96" s="112"/>
      <c r="V96" s="112"/>
      <c r="W96" s="112"/>
      <c r="X96" s="112"/>
      <c r="Y96" s="147"/>
      <c r="Z96" s="279"/>
      <c r="AC96" s="285"/>
      <c r="AD96" s="285"/>
      <c r="AE96" s="285"/>
      <c r="AF96" s="285"/>
      <c r="AG96" s="285"/>
      <c r="AH96" s="285"/>
      <c r="AI96" s="285"/>
      <c r="AJ96" s="285"/>
      <c r="AK96" s="285"/>
    </row>
    <row r="97" spans="1:37">
      <c r="A97" s="100" t="s">
        <v>57</v>
      </c>
      <c r="B97" s="112">
        <f>B20</f>
        <v>0</v>
      </c>
      <c r="C97" s="112" t="s">
        <v>13</v>
      </c>
      <c r="D97" s="112"/>
      <c r="E97" s="112"/>
      <c r="F97" s="112"/>
      <c r="G97" s="112"/>
      <c r="H97" s="112"/>
      <c r="I97" s="112"/>
      <c r="J97" s="112"/>
      <c r="K97" s="112"/>
      <c r="L97" s="112"/>
      <c r="M97" s="112"/>
      <c r="N97" s="112"/>
      <c r="O97" s="112"/>
      <c r="P97" s="112"/>
      <c r="Q97" s="112"/>
      <c r="R97" s="112"/>
      <c r="S97" s="112"/>
      <c r="T97" s="112"/>
      <c r="U97" s="112"/>
      <c r="V97" s="112"/>
      <c r="W97" s="112"/>
      <c r="X97" s="112"/>
      <c r="Y97" s="147"/>
      <c r="Z97" s="279"/>
      <c r="AC97" s="285"/>
      <c r="AD97" s="285"/>
      <c r="AE97" s="285"/>
      <c r="AF97" s="285"/>
      <c r="AG97" s="285"/>
      <c r="AH97" s="285"/>
      <c r="AI97" s="285"/>
      <c r="AJ97" s="285"/>
      <c r="AK97" s="285"/>
    </row>
    <row r="98" spans="1:37">
      <c r="A98" s="112" t="s">
        <v>58</v>
      </c>
      <c r="B98" s="41" t="e">
        <f>D81</f>
        <v>#N/A</v>
      </c>
      <c r="C98" s="112" t="s">
        <v>44</v>
      </c>
      <c r="D98" s="112"/>
      <c r="E98" s="112"/>
      <c r="F98" s="112"/>
      <c r="G98" s="112"/>
      <c r="H98" s="112"/>
      <c r="I98" s="112"/>
      <c r="J98" s="112"/>
      <c r="K98" s="112"/>
      <c r="L98" s="112"/>
      <c r="M98" s="112"/>
      <c r="N98" s="112"/>
      <c r="O98" s="112"/>
      <c r="P98" s="112"/>
      <c r="Q98" s="112"/>
      <c r="R98" s="112"/>
      <c r="S98" s="112"/>
      <c r="T98" s="112"/>
      <c r="U98" s="112"/>
      <c r="V98" s="112"/>
      <c r="W98" s="112"/>
      <c r="X98" s="112"/>
      <c r="Y98" s="147"/>
      <c r="Z98" s="279"/>
      <c r="AC98" s="285"/>
      <c r="AD98" s="285"/>
      <c r="AE98" s="285"/>
      <c r="AF98" s="285"/>
      <c r="AG98" s="285"/>
      <c r="AH98" s="285"/>
      <c r="AI98" s="285"/>
      <c r="AJ98" s="285"/>
      <c r="AK98" s="285"/>
    </row>
    <row r="99" spans="1:37">
      <c r="A99" s="112" t="s">
        <v>59</v>
      </c>
      <c r="B99" s="41" t="e">
        <f>F81</f>
        <v>#N/A</v>
      </c>
      <c r="C99" s="112" t="s">
        <v>44</v>
      </c>
      <c r="D99" s="112"/>
      <c r="E99" s="112"/>
      <c r="F99" s="112"/>
      <c r="G99" s="112"/>
      <c r="H99" s="112"/>
      <c r="I99" s="112"/>
      <c r="J99" s="112"/>
      <c r="K99" s="112"/>
      <c r="L99" s="112"/>
      <c r="M99" s="112"/>
      <c r="N99" s="112"/>
      <c r="O99" s="112"/>
      <c r="P99" s="112"/>
      <c r="Q99" s="112"/>
      <c r="R99" s="112"/>
      <c r="S99" s="112"/>
      <c r="T99" s="112"/>
      <c r="U99" s="112"/>
      <c r="V99" s="112"/>
      <c r="W99" s="112"/>
      <c r="X99" s="112"/>
      <c r="Y99" s="147"/>
      <c r="Z99" s="279"/>
      <c r="AC99" s="285"/>
      <c r="AD99" s="285"/>
      <c r="AE99" s="285"/>
      <c r="AF99" s="285"/>
      <c r="AG99" s="285"/>
      <c r="AH99" s="285"/>
      <c r="AI99" s="285"/>
      <c r="AJ99" s="285"/>
      <c r="AK99" s="285"/>
    </row>
    <row r="100" spans="1:37">
      <c r="A100" s="112"/>
      <c r="B100" s="112"/>
      <c r="C100" s="112"/>
      <c r="D100" s="112"/>
      <c r="E100" s="112"/>
      <c r="F100" s="112"/>
      <c r="G100" s="112"/>
      <c r="H100" s="112"/>
      <c r="I100" s="112"/>
      <c r="J100" s="112"/>
      <c r="K100" s="112"/>
      <c r="L100" s="112"/>
      <c r="M100" s="112"/>
      <c r="N100" s="112"/>
      <c r="O100" s="112"/>
      <c r="P100" s="112"/>
      <c r="Q100" s="112"/>
      <c r="R100" s="112"/>
      <c r="S100" s="112"/>
      <c r="T100" s="112"/>
      <c r="U100" s="112"/>
      <c r="V100" s="112"/>
      <c r="W100" s="112"/>
      <c r="X100" s="112"/>
      <c r="Y100" s="147"/>
      <c r="Z100" s="279"/>
      <c r="AC100" s="285"/>
      <c r="AD100" s="285"/>
      <c r="AE100" s="285"/>
      <c r="AF100" s="285"/>
      <c r="AG100" s="285"/>
      <c r="AH100" s="285"/>
      <c r="AI100" s="285"/>
      <c r="AJ100" s="285"/>
      <c r="AK100" s="285"/>
    </row>
    <row r="101" spans="1:37" ht="39.75" customHeight="1">
      <c r="A101" s="94" t="s">
        <v>184</v>
      </c>
      <c r="B101" s="44" t="e">
        <f>11000/SQRT(B97)</f>
        <v>#DIV/0!</v>
      </c>
      <c r="C101" s="100" t="s">
        <v>221</v>
      </c>
      <c r="D101" s="112"/>
      <c r="E101" s="112"/>
      <c r="F101" s="112"/>
      <c r="G101" s="112"/>
      <c r="H101" s="112"/>
      <c r="I101" s="112"/>
      <c r="J101" s="112"/>
      <c r="K101" s="112"/>
      <c r="L101" s="112"/>
      <c r="M101" s="112"/>
      <c r="N101" s="112"/>
      <c r="O101" s="112"/>
      <c r="P101" s="112"/>
      <c r="Q101" s="112"/>
      <c r="R101" s="112"/>
      <c r="S101" s="112"/>
      <c r="T101" s="112"/>
      <c r="U101" s="112"/>
      <c r="V101" s="112"/>
      <c r="W101" s="112"/>
      <c r="X101" s="112"/>
      <c r="Y101" s="147"/>
      <c r="Z101" s="279"/>
      <c r="AC101" s="285"/>
      <c r="AD101" s="285"/>
      <c r="AE101" s="285"/>
      <c r="AF101" s="285"/>
      <c r="AG101" s="285"/>
      <c r="AH101" s="285"/>
      <c r="AI101" s="285"/>
      <c r="AJ101" s="285"/>
      <c r="AK101" s="285"/>
    </row>
    <row r="102" spans="1:37">
      <c r="A102" s="101" t="s">
        <v>222</v>
      </c>
      <c r="B102" s="112">
        <f>5/16</f>
        <v>0.3125</v>
      </c>
      <c r="C102" s="101" t="s">
        <v>223</v>
      </c>
      <c r="D102" s="112"/>
      <c r="E102" s="112"/>
      <c r="F102" s="112"/>
      <c r="G102" s="112"/>
      <c r="H102" s="112"/>
      <c r="I102" s="112"/>
      <c r="J102" s="112"/>
      <c r="K102" s="112"/>
      <c r="L102" s="112"/>
      <c r="M102" s="112"/>
      <c r="N102" s="112"/>
      <c r="O102" s="112"/>
      <c r="P102" s="112"/>
      <c r="Q102" s="112"/>
      <c r="R102" s="112"/>
      <c r="S102" s="112"/>
      <c r="T102" s="112"/>
      <c r="U102" s="112"/>
      <c r="V102" s="112"/>
      <c r="W102" s="112"/>
      <c r="X102" s="112"/>
      <c r="Y102" s="147"/>
      <c r="Z102" s="279"/>
      <c r="AC102" s="285"/>
      <c r="AD102" s="285"/>
      <c r="AE102" s="285"/>
      <c r="AF102" s="285"/>
      <c r="AG102" s="285"/>
      <c r="AH102" s="285"/>
      <c r="AI102" s="285"/>
      <c r="AJ102" s="285"/>
      <c r="AK102" s="285"/>
    </row>
    <row r="103" spans="1:37">
      <c r="A103" s="112"/>
      <c r="B103" s="112"/>
      <c r="C103" s="112"/>
      <c r="D103" s="112"/>
      <c r="E103" s="112"/>
      <c r="F103" s="112"/>
      <c r="G103" s="112"/>
      <c r="H103" s="112"/>
      <c r="I103" s="112"/>
      <c r="J103" s="112"/>
      <c r="K103" s="112"/>
      <c r="L103" s="112"/>
      <c r="M103" s="112"/>
      <c r="N103" s="112"/>
      <c r="O103" s="112"/>
      <c r="P103" s="112"/>
      <c r="Q103" s="112"/>
      <c r="R103" s="112"/>
      <c r="S103" s="112"/>
      <c r="T103" s="112"/>
      <c r="U103" s="112"/>
      <c r="V103" s="112"/>
      <c r="W103" s="112"/>
      <c r="X103" s="112"/>
      <c r="Y103" s="147"/>
      <c r="Z103" s="279"/>
      <c r="AC103" s="285"/>
      <c r="AD103" s="285"/>
      <c r="AE103" s="285"/>
      <c r="AF103" s="285"/>
      <c r="AG103" s="285"/>
      <c r="AH103" s="285"/>
      <c r="AI103" s="285"/>
      <c r="AJ103" s="285"/>
      <c r="AK103" s="285"/>
    </row>
    <row r="104" spans="1:37" ht="57.75" customHeight="1">
      <c r="A104" s="5" t="s">
        <v>23</v>
      </c>
      <c r="B104" s="5" t="s">
        <v>142</v>
      </c>
      <c r="C104" s="48" t="s">
        <v>145</v>
      </c>
      <c r="D104" s="5" t="s">
        <v>279</v>
      </c>
      <c r="E104" s="5" t="s">
        <v>280</v>
      </c>
      <c r="F104" s="5" t="s">
        <v>60</v>
      </c>
      <c r="G104" s="112"/>
      <c r="H104" s="112"/>
      <c r="I104" s="100"/>
      <c r="J104" s="112"/>
      <c r="K104" s="112"/>
      <c r="L104" s="112"/>
      <c r="M104" s="112"/>
      <c r="N104" s="112"/>
      <c r="O104" s="112"/>
      <c r="P104" s="112"/>
      <c r="Q104" s="112"/>
      <c r="R104" s="112"/>
      <c r="S104" s="112"/>
      <c r="T104" s="112"/>
      <c r="U104" s="112"/>
      <c r="V104" s="112"/>
      <c r="W104" s="112"/>
      <c r="X104" s="112"/>
      <c r="Y104" s="147"/>
      <c r="Z104" s="279"/>
      <c r="AC104" s="285"/>
      <c r="AD104" s="285"/>
      <c r="AE104" s="285"/>
      <c r="AF104" s="285"/>
      <c r="AG104" s="285"/>
      <c r="AH104" s="285"/>
      <c r="AI104" s="285"/>
      <c r="AJ104" s="285"/>
      <c r="AK104" s="285"/>
    </row>
    <row r="105" spans="1:37">
      <c r="A105" s="151" t="s">
        <v>144</v>
      </c>
      <c r="B105" s="114">
        <f>$C$41</f>
        <v>10</v>
      </c>
      <c r="C105" s="70" t="e">
        <f>LOOKUP($C$41,'Info Tables'!A19:A58,'Info Tables'!N19:N58)</f>
        <v>#N/A</v>
      </c>
      <c r="D105" s="3" t="e">
        <f>MAX(LOOKUP($C$41,'Info Tables'!$A$19:$A$58,'Info Tables'!$J$19:$J$58),LOOKUP($C$41,'Info Tables'!$A$19:$A$58,'Info Tables'!$K$19:$K$58))</f>
        <v>#N/A</v>
      </c>
      <c r="E105" s="3" t="e">
        <f>$B$101*C105</f>
        <v>#DIV/0!</v>
      </c>
      <c r="F105" s="57" t="e">
        <f>IF(D105="N/A","N/A",IF(AND(D105&lt;=$B$101*$B$98,B102&lt;=B98),"OK","NG"))</f>
        <v>#N/A</v>
      </c>
      <c r="G105" s="112"/>
      <c r="H105" s="112"/>
      <c r="I105" s="112"/>
      <c r="J105" s="112"/>
      <c r="K105" s="112"/>
      <c r="L105" s="112"/>
      <c r="M105" s="112"/>
      <c r="N105" s="112"/>
      <c r="O105" s="112"/>
      <c r="P105" s="112"/>
      <c r="Q105" s="112"/>
      <c r="R105" s="112"/>
      <c r="S105" s="112"/>
      <c r="T105" s="112"/>
      <c r="U105" s="112"/>
      <c r="V105" s="112"/>
      <c r="W105" s="112"/>
      <c r="X105" s="112"/>
      <c r="Y105" s="147"/>
      <c r="Z105" s="279"/>
      <c r="AC105" s="285" t="e">
        <f>IF(OR(AD105="NG",AE105="NG",AF105="NG",AG105="NG",AH105="NG"),1,0)</f>
        <v>#N/A</v>
      </c>
      <c r="AD105" s="286" t="e">
        <f>F105</f>
        <v>#N/A</v>
      </c>
      <c r="AE105" s="287">
        <f>G105</f>
        <v>0</v>
      </c>
      <c r="AF105" s="285"/>
      <c r="AG105" s="285"/>
      <c r="AH105" s="285"/>
      <c r="AI105" s="285"/>
      <c r="AJ105" s="285"/>
      <c r="AK105" s="285"/>
    </row>
    <row r="106" spans="1:37">
      <c r="A106" s="151" t="s">
        <v>143</v>
      </c>
      <c r="B106" s="114">
        <f>$C$41</f>
        <v>10</v>
      </c>
      <c r="C106" s="70" t="e">
        <f>LOOKUP($C$41,'Info Tables'!A19:A58,'Info Tables'!O19:O58)</f>
        <v>#N/A</v>
      </c>
      <c r="D106" s="3" t="e">
        <f>MAX(LOOKUP($C$41,'Info Tables'!$A$19:$A$58,'Info Tables'!$J$19:$J$58),LOOKUP($C$41,'Info Tables'!$A$19:$A$58,'Info Tables'!$K$19:$K$58))</f>
        <v>#N/A</v>
      </c>
      <c r="E106" s="3" t="e">
        <f>$B$101*C106</f>
        <v>#DIV/0!</v>
      </c>
      <c r="F106" s="57" t="e">
        <f>IF(D106="N/A","N/A",IF(AND(D106&lt;=$B$101*$B$99,B102&lt;=B99),"OK","NG"))</f>
        <v>#N/A</v>
      </c>
      <c r="G106" s="112"/>
      <c r="H106" s="112"/>
      <c r="I106" s="112"/>
      <c r="J106" s="112"/>
      <c r="K106" s="112"/>
      <c r="L106" s="112"/>
      <c r="M106" s="112"/>
      <c r="N106" s="112"/>
      <c r="O106" s="112"/>
      <c r="P106" s="112"/>
      <c r="Q106" s="112"/>
      <c r="R106" s="112"/>
      <c r="S106" s="112"/>
      <c r="T106" s="112"/>
      <c r="U106" s="112"/>
      <c r="V106" s="112"/>
      <c r="W106" s="112"/>
      <c r="X106" s="112"/>
      <c r="Y106" s="147"/>
      <c r="Z106" s="279"/>
      <c r="AC106" s="285" t="e">
        <f>IF(OR(AD106="NG",AE106="NG",AF106="NG",AG106="NG",AH106="NG"),1,0)</f>
        <v>#N/A</v>
      </c>
      <c r="AD106" s="286" t="e">
        <f>F106</f>
        <v>#N/A</v>
      </c>
      <c r="AE106" s="287">
        <f>G106</f>
        <v>0</v>
      </c>
      <c r="AF106" s="285"/>
      <c r="AG106" s="285"/>
      <c r="AH106" s="285"/>
      <c r="AI106" s="285"/>
      <c r="AJ106" s="285"/>
      <c r="AK106" s="285"/>
    </row>
    <row r="107" spans="1:37">
      <c r="A107" s="112"/>
      <c r="B107" s="112"/>
      <c r="C107" s="112"/>
      <c r="D107" s="112"/>
      <c r="E107" s="112"/>
      <c r="F107" s="112"/>
      <c r="G107" s="112"/>
      <c r="H107" s="112"/>
      <c r="I107" s="112"/>
      <c r="J107" s="112"/>
      <c r="K107" s="112"/>
      <c r="L107" s="112"/>
      <c r="M107" s="112"/>
      <c r="N107" s="112"/>
      <c r="O107" s="112"/>
      <c r="P107" s="112"/>
      <c r="Q107" s="112"/>
      <c r="R107" s="112"/>
      <c r="S107" s="112"/>
      <c r="T107" s="112"/>
      <c r="U107" s="112"/>
      <c r="V107" s="112"/>
      <c r="W107" s="112"/>
      <c r="X107" s="112"/>
      <c r="Y107" s="147"/>
      <c r="Z107" s="279"/>
      <c r="AC107" s="285"/>
      <c r="AD107" s="286"/>
      <c r="AE107" s="285"/>
      <c r="AF107" s="285"/>
      <c r="AG107" s="285"/>
      <c r="AH107" s="285"/>
      <c r="AI107" s="285"/>
      <c r="AJ107" s="285"/>
      <c r="AK107" s="285"/>
    </row>
    <row r="108" spans="1:37">
      <c r="A108" s="112"/>
      <c r="B108" s="112"/>
      <c r="C108" s="112"/>
      <c r="D108" s="112"/>
      <c r="E108" s="112"/>
      <c r="F108" s="112"/>
      <c r="G108" s="112"/>
      <c r="H108" s="112"/>
      <c r="I108" s="112"/>
      <c r="J108" s="112"/>
      <c r="K108" s="112"/>
      <c r="L108" s="112"/>
      <c r="M108" s="112"/>
      <c r="N108" s="112"/>
      <c r="O108" s="112"/>
      <c r="P108" s="112"/>
      <c r="Q108" s="112"/>
      <c r="R108" s="112"/>
      <c r="S108" s="112"/>
      <c r="T108" s="112"/>
      <c r="U108" s="112"/>
      <c r="V108" s="112"/>
      <c r="W108" s="112"/>
      <c r="X108" s="112"/>
      <c r="Y108" s="147"/>
      <c r="Z108" s="279"/>
      <c r="AC108" s="285"/>
      <c r="AD108" s="286"/>
      <c r="AE108" s="285"/>
      <c r="AF108" s="285"/>
      <c r="AG108" s="285"/>
      <c r="AH108" s="285"/>
      <c r="AI108" s="285"/>
      <c r="AJ108" s="285"/>
      <c r="AK108" s="285"/>
    </row>
    <row r="109" spans="1:37">
      <c r="A109" s="112"/>
      <c r="B109" s="112"/>
      <c r="C109" s="112"/>
      <c r="D109" s="112"/>
      <c r="E109" s="112"/>
      <c r="F109" s="112"/>
      <c r="G109" s="112"/>
      <c r="H109" s="112"/>
      <c r="I109" s="112"/>
      <c r="J109" s="112"/>
      <c r="K109" s="112"/>
      <c r="L109" s="112"/>
      <c r="M109" s="112"/>
      <c r="N109" s="112"/>
      <c r="O109" s="112"/>
      <c r="P109" s="112"/>
      <c r="Q109" s="112"/>
      <c r="R109" s="112"/>
      <c r="S109" s="112"/>
      <c r="T109" s="112"/>
      <c r="U109" s="112"/>
      <c r="V109" s="112"/>
      <c r="W109" s="112"/>
      <c r="X109" s="112"/>
      <c r="Y109" s="147"/>
      <c r="Z109" s="279"/>
      <c r="AC109" s="285"/>
      <c r="AD109" s="286"/>
      <c r="AE109" s="285"/>
      <c r="AF109" s="285"/>
      <c r="AG109" s="285"/>
      <c r="AH109" s="285"/>
      <c r="AI109" s="285"/>
      <c r="AJ109" s="285"/>
      <c r="AK109" s="285"/>
    </row>
    <row r="110" spans="1:37">
      <c r="A110" s="112"/>
      <c r="B110" s="112"/>
      <c r="C110" s="112"/>
      <c r="D110" s="112"/>
      <c r="E110" s="112"/>
      <c r="F110" s="100"/>
      <c r="G110" s="100"/>
      <c r="H110" s="112"/>
      <c r="I110" s="112"/>
      <c r="J110" s="112"/>
      <c r="K110" s="112"/>
      <c r="L110" s="112"/>
      <c r="M110" s="112"/>
      <c r="N110" s="112"/>
      <c r="O110" s="112"/>
      <c r="P110" s="112"/>
      <c r="Q110" s="112"/>
      <c r="R110" s="112"/>
      <c r="S110" s="112"/>
      <c r="T110" s="112"/>
      <c r="U110" s="112"/>
      <c r="V110" s="112"/>
      <c r="W110" s="112"/>
      <c r="X110" s="112"/>
      <c r="Y110" s="147"/>
      <c r="Z110" s="279"/>
      <c r="AC110" s="285"/>
      <c r="AD110" s="286"/>
      <c r="AE110" s="285"/>
      <c r="AF110" s="285"/>
      <c r="AG110" s="285"/>
      <c r="AH110" s="285"/>
      <c r="AI110" s="285"/>
      <c r="AJ110" s="285"/>
      <c r="AK110" s="285"/>
    </row>
    <row r="111" spans="1:37">
      <c r="A111" s="112"/>
      <c r="B111" s="112"/>
      <c r="C111" s="112"/>
      <c r="D111" s="112"/>
      <c r="E111" s="112"/>
      <c r="F111" s="112"/>
      <c r="G111" s="112"/>
      <c r="H111" s="112"/>
      <c r="I111" s="112"/>
      <c r="J111" s="112"/>
      <c r="K111" s="112"/>
      <c r="L111" s="112"/>
      <c r="M111" s="112"/>
      <c r="N111" s="112"/>
      <c r="O111" s="112"/>
      <c r="P111" s="112"/>
      <c r="Q111" s="112"/>
      <c r="R111" s="112"/>
      <c r="S111" s="112"/>
      <c r="T111" s="112"/>
      <c r="U111" s="112"/>
      <c r="V111" s="112"/>
      <c r="W111" s="112"/>
      <c r="X111" s="112"/>
      <c r="Y111" s="147"/>
      <c r="Z111" s="279"/>
      <c r="AC111" s="285"/>
      <c r="AD111" s="285"/>
      <c r="AE111" s="285"/>
      <c r="AF111" s="285"/>
      <c r="AG111" s="285"/>
      <c r="AH111" s="285"/>
      <c r="AI111" s="285"/>
      <c r="AJ111" s="285"/>
      <c r="AK111" s="285"/>
    </row>
    <row r="112" spans="1:37">
      <c r="A112" s="93" t="s">
        <v>224</v>
      </c>
      <c r="B112" s="112"/>
      <c r="C112" s="112"/>
      <c r="D112" s="112"/>
      <c r="E112" s="112"/>
      <c r="F112" s="112"/>
      <c r="G112" s="112"/>
      <c r="H112" s="112"/>
      <c r="I112" s="112"/>
      <c r="J112" s="112"/>
      <c r="K112" s="112"/>
      <c r="L112" s="112"/>
      <c r="M112" s="112"/>
      <c r="N112" s="112"/>
      <c r="O112" s="112"/>
      <c r="P112" s="112"/>
      <c r="Q112" s="112"/>
      <c r="R112" s="112"/>
      <c r="S112" s="112"/>
      <c r="T112" s="112"/>
      <c r="U112" s="112"/>
      <c r="V112" s="112"/>
      <c r="W112" s="112"/>
      <c r="X112" s="112"/>
      <c r="Y112" s="147"/>
      <c r="Z112" s="279"/>
      <c r="AA112" s="288" t="e">
        <f>MIN(AB125:AB129)</f>
        <v>#N/A</v>
      </c>
      <c r="AB112" s="282" t="e">
        <f>MIN(AF116:AG120)</f>
        <v>#N/A</v>
      </c>
      <c r="AC112" s="283" t="e">
        <f>IF(SUM(AC116:AC120)=0,"OK","NG")</f>
        <v>#N/A</v>
      </c>
      <c r="AD112" s="284" t="str">
        <f>A112</f>
        <v>2: Gusset Plate Local Compression Buckling Under Whitmore Effective Width</v>
      </c>
      <c r="AE112" s="285"/>
      <c r="AF112" s="285"/>
      <c r="AG112" s="285"/>
      <c r="AH112" s="285"/>
      <c r="AI112" s="285"/>
      <c r="AJ112" s="285"/>
      <c r="AK112" s="285"/>
    </row>
    <row r="113" spans="1:37">
      <c r="A113" s="112"/>
      <c r="B113" s="112"/>
      <c r="C113" s="112"/>
      <c r="D113" s="112"/>
      <c r="E113" s="112"/>
      <c r="F113" s="112"/>
      <c r="G113" s="112"/>
      <c r="H113" s="112"/>
      <c r="I113" s="112"/>
      <c r="J113" s="112"/>
      <c r="K113" s="112"/>
      <c r="L113" s="112"/>
      <c r="M113" s="112"/>
      <c r="N113" s="112"/>
      <c r="O113" s="112"/>
      <c r="P113" s="112"/>
      <c r="Q113" s="112"/>
      <c r="R113" s="112"/>
      <c r="S113" s="112"/>
      <c r="T113" s="112"/>
      <c r="U113" s="112"/>
      <c r="V113" s="112"/>
      <c r="W113" s="112"/>
      <c r="X113" s="112"/>
      <c r="Y113" s="147"/>
      <c r="Z113" s="279"/>
      <c r="AC113" s="285"/>
      <c r="AD113" s="285"/>
      <c r="AE113" s="285"/>
      <c r="AF113" s="285"/>
      <c r="AG113" s="285"/>
      <c r="AH113" s="285"/>
      <c r="AI113" s="285"/>
      <c r="AJ113" s="285"/>
      <c r="AK113" s="285"/>
    </row>
    <row r="114" spans="1:37">
      <c r="A114" s="112"/>
      <c r="B114" s="112"/>
      <c r="C114" s="112"/>
      <c r="D114" s="112"/>
      <c r="E114" s="112"/>
      <c r="F114" s="112"/>
      <c r="G114" s="112"/>
      <c r="H114" s="112"/>
      <c r="I114" s="112"/>
      <c r="J114" s="112"/>
      <c r="K114" s="112"/>
      <c r="L114" s="112"/>
      <c r="M114" s="112"/>
      <c r="N114" s="112"/>
      <c r="O114" s="112"/>
      <c r="P114" s="100" t="s">
        <v>116</v>
      </c>
      <c r="Q114" s="112"/>
      <c r="R114" s="112"/>
      <c r="S114" s="112"/>
      <c r="T114" s="112"/>
      <c r="U114" s="112"/>
      <c r="V114" s="112"/>
      <c r="W114" s="112"/>
      <c r="X114" s="112"/>
      <c r="Y114" s="147"/>
      <c r="Z114" s="279"/>
      <c r="AC114" s="285"/>
      <c r="AD114" s="285"/>
      <c r="AE114" s="285"/>
      <c r="AF114" s="285"/>
      <c r="AG114" s="285"/>
      <c r="AH114" s="285"/>
      <c r="AI114" s="285"/>
      <c r="AJ114" s="285"/>
      <c r="AK114" s="285"/>
    </row>
    <row r="115" spans="1:37" ht="68.25" customHeight="1">
      <c r="A115" s="5" t="s">
        <v>23</v>
      </c>
      <c r="B115" s="5" t="s">
        <v>25</v>
      </c>
      <c r="C115" s="48" t="s">
        <v>4</v>
      </c>
      <c r="D115" s="5" t="s">
        <v>64</v>
      </c>
      <c r="E115" s="80" t="s">
        <v>179</v>
      </c>
      <c r="F115" s="80" t="s">
        <v>180</v>
      </c>
      <c r="G115" s="2" t="s">
        <v>312</v>
      </c>
      <c r="H115" s="109" t="s">
        <v>65</v>
      </c>
      <c r="I115" s="109" t="s">
        <v>105</v>
      </c>
      <c r="J115" s="109" t="s">
        <v>106</v>
      </c>
      <c r="K115" s="109" t="s">
        <v>66</v>
      </c>
      <c r="L115" s="109" t="s">
        <v>67</v>
      </c>
      <c r="M115" s="109" t="s">
        <v>68</v>
      </c>
      <c r="N115" s="5" t="s">
        <v>69</v>
      </c>
      <c r="O115" s="5" t="s">
        <v>69</v>
      </c>
      <c r="P115" s="49" t="s">
        <v>111</v>
      </c>
      <c r="Q115" s="49" t="s">
        <v>111</v>
      </c>
      <c r="R115" s="112"/>
      <c r="S115" s="112"/>
      <c r="T115" s="112"/>
      <c r="U115" s="112"/>
      <c r="V115" s="112"/>
      <c r="W115" s="112"/>
      <c r="X115" s="112"/>
      <c r="Y115" s="147"/>
      <c r="Z115" s="279"/>
      <c r="AC115" s="285"/>
      <c r="AD115" s="285"/>
      <c r="AE115" s="285"/>
      <c r="AF115" s="285"/>
      <c r="AG115" s="285"/>
      <c r="AH115" s="285"/>
      <c r="AI115" s="285"/>
      <c r="AJ115" s="285"/>
      <c r="AK115" s="285"/>
    </row>
    <row r="116" spans="1:37" ht="20.100000000000001" customHeight="1">
      <c r="A116" s="151" t="str">
        <f>$A$81</f>
        <v>U/L Chord  (LT)</v>
      </c>
      <c r="B116" s="114" t="e">
        <f>$B$81</f>
        <v>#N/A</v>
      </c>
      <c r="C116" s="17" t="e">
        <f>$C$81</f>
        <v>#N/A</v>
      </c>
      <c r="D116" s="23" t="e">
        <f>$J$57</f>
        <v>#N/A</v>
      </c>
      <c r="E116" s="81" t="e">
        <f>$K$57</f>
        <v>#N/A</v>
      </c>
      <c r="F116" s="81" t="e">
        <f>$L$57</f>
        <v>#N/A</v>
      </c>
      <c r="G116" s="3" t="e">
        <f>IF(OR(C116="N/A",G57=0),"N/A",IF(OR(E116="No",F116="Yes"),"N/A",G57))</f>
        <v>#N/A</v>
      </c>
      <c r="H116" s="3" t="e">
        <f>IF($G$116="N/A","N/A",D81*L81)</f>
        <v>#N/A</v>
      </c>
      <c r="I116" s="3" t="e">
        <f>IF($G$116="N/A","N/A",F81*L81)</f>
        <v>#N/A</v>
      </c>
      <c r="J116" s="3" t="e">
        <f>IF($G$116="N/A","N/A",ABS(G116/(2*H116)))</f>
        <v>#N/A</v>
      </c>
      <c r="K116" s="3" t="e">
        <f>IF($G$116="N/A","N/A",ABS(G116/(2*I116)))</f>
        <v>#N/A</v>
      </c>
      <c r="L116" s="3" t="e">
        <f>IF($G$116="N/A","N/A",R81/1000)</f>
        <v>#N/A</v>
      </c>
      <c r="M116" s="3" t="e">
        <f>IF($G$116="N/A","N/A",W81/1000)</f>
        <v>#N/A</v>
      </c>
      <c r="N116" s="57" t="e">
        <f>IF(OR(G116="N/A",J116=0),"N/A",IF(J116&lt;=L116,"OK","NG"))</f>
        <v>#N/A</v>
      </c>
      <c r="O116" s="57" t="e">
        <f>IF(OR(G116="N/A",K116=0),"N/A",IF(K116&lt;=M116,"OK","NG"))</f>
        <v>#N/A</v>
      </c>
      <c r="P116" s="61" t="e">
        <f>IF(OR(G116="N/A",J116=0),"N/A",ABS(L116/J116))</f>
        <v>#N/A</v>
      </c>
      <c r="Q116" s="61" t="e">
        <f>IF(OR(G116="N/A",K116=0),"N/A",ABS(M116/K116))</f>
        <v>#N/A</v>
      </c>
      <c r="R116" s="112"/>
      <c r="S116" s="112"/>
      <c r="T116" s="112"/>
      <c r="U116" s="112"/>
      <c r="V116" s="112"/>
      <c r="W116" s="112"/>
      <c r="X116" s="112"/>
      <c r="Y116" s="147"/>
      <c r="Z116" s="279"/>
      <c r="AC116" s="285" t="e">
        <f>IF(OR(AD116="NG",AE116="NG",AF116="NG",AG116="NG",AH116="NG"),1,0)</f>
        <v>#N/A</v>
      </c>
      <c r="AD116" s="286" t="e">
        <f t="shared" ref="AD116:AG120" si="1">N116</f>
        <v>#N/A</v>
      </c>
      <c r="AE116" s="286" t="e">
        <f t="shared" si="1"/>
        <v>#N/A</v>
      </c>
      <c r="AF116" s="287" t="e">
        <f t="shared" si="1"/>
        <v>#N/A</v>
      </c>
      <c r="AG116" s="287" t="e">
        <f t="shared" si="1"/>
        <v>#N/A</v>
      </c>
      <c r="AH116" s="286"/>
      <c r="AI116" s="285"/>
      <c r="AJ116" s="285"/>
      <c r="AK116" s="285"/>
    </row>
    <row r="117" spans="1:37" ht="20.100000000000001" customHeight="1">
      <c r="A117" s="151" t="str">
        <f>$A$82</f>
        <v>U/L Chord  (RT)</v>
      </c>
      <c r="B117" s="114" t="e">
        <f>$B$82</f>
        <v>#N/A</v>
      </c>
      <c r="C117" s="17" t="e">
        <f>$C$82</f>
        <v>#N/A</v>
      </c>
      <c r="D117" s="23" t="e">
        <f>$J$58</f>
        <v>#N/A</v>
      </c>
      <c r="E117" s="81" t="e">
        <f>$K$58</f>
        <v>#N/A</v>
      </c>
      <c r="F117" s="81" t="e">
        <f>$L$58</f>
        <v>#N/A</v>
      </c>
      <c r="G117" s="3" t="e">
        <f>IF(OR(C117="N/A",G58=0),"N/A",IF(OR(E117="No",F117="Yes"),"N/A",G58))</f>
        <v>#N/A</v>
      </c>
      <c r="H117" s="3" t="e">
        <f>IF($G$117="N/A","N/A",D82*L82)</f>
        <v>#N/A</v>
      </c>
      <c r="I117" s="3" t="e">
        <f>IF($G$117="N/A","N/A",F82*L82)</f>
        <v>#N/A</v>
      </c>
      <c r="J117" s="3" t="e">
        <f>IF($G$117="N/A","N/A",ABS(G117/(2*H117)))</f>
        <v>#N/A</v>
      </c>
      <c r="K117" s="3" t="e">
        <f>IF($G$117="N/A","N/A",ABS(G117/(2*I117)))</f>
        <v>#N/A</v>
      </c>
      <c r="L117" s="3" t="e">
        <f>IF($G$117="N/A","N/A",R82/1000)</f>
        <v>#N/A</v>
      </c>
      <c r="M117" s="3" t="e">
        <f>IF($G$117="N/A","N/A",W82/1000)</f>
        <v>#N/A</v>
      </c>
      <c r="N117" s="57" t="e">
        <f>IF(OR(G117="N/A",J117=0),"N/A",IF(J117&lt;=L117,"OK","NG"))</f>
        <v>#N/A</v>
      </c>
      <c r="O117" s="57" t="e">
        <f>IF(OR(G117="N/A",K117=0),"N/A",IF(K117&lt;=M117,"OK","NG"))</f>
        <v>#N/A</v>
      </c>
      <c r="P117" s="61" t="e">
        <f>IF(OR(G117="N/A",J117=0),"N/A",ABS(L117/J117))</f>
        <v>#N/A</v>
      </c>
      <c r="Q117" s="61" t="e">
        <f>IF(OR(G117="N/A",K117=0),"N/A",ABS(M117/K117))</f>
        <v>#N/A</v>
      </c>
      <c r="R117" s="112"/>
      <c r="S117" s="112"/>
      <c r="T117" s="112"/>
      <c r="U117" s="112"/>
      <c r="V117" s="112"/>
      <c r="W117" s="112"/>
      <c r="X117" s="112"/>
      <c r="Y117" s="147"/>
      <c r="Z117" s="279"/>
      <c r="AC117" s="285" t="e">
        <f>IF(OR(AD117="NG",AE117="NG",AF117="NG",AG117="NG",AH117="NG"),1,0)</f>
        <v>#N/A</v>
      </c>
      <c r="AD117" s="286" t="e">
        <f t="shared" si="1"/>
        <v>#N/A</v>
      </c>
      <c r="AE117" s="286" t="e">
        <f t="shared" si="1"/>
        <v>#N/A</v>
      </c>
      <c r="AF117" s="287" t="e">
        <f t="shared" si="1"/>
        <v>#N/A</v>
      </c>
      <c r="AG117" s="287" t="e">
        <f t="shared" si="1"/>
        <v>#N/A</v>
      </c>
      <c r="AH117" s="285"/>
      <c r="AI117" s="285"/>
      <c r="AJ117" s="285"/>
      <c r="AK117" s="285"/>
    </row>
    <row r="118" spans="1:37" ht="20.100000000000001" customHeight="1">
      <c r="A118" s="151" t="str">
        <f>$A$83</f>
        <v>Diagonal (LT)</v>
      </c>
      <c r="B118" s="114" t="e">
        <f>$B$83</f>
        <v>#N/A</v>
      </c>
      <c r="C118" s="17" t="e">
        <f>$C$83</f>
        <v>#N/A</v>
      </c>
      <c r="D118" s="23" t="e">
        <f>$J$59</f>
        <v>#N/A</v>
      </c>
      <c r="E118" s="81" t="e">
        <f>$K$59</f>
        <v>#N/A</v>
      </c>
      <c r="F118" s="81" t="e">
        <f>$L$59</f>
        <v>#N/A</v>
      </c>
      <c r="G118" s="3" t="e">
        <f>IF(OR(C118="N/A",G59=0),"N/A",IF(OR(E118="No",F118="Yes"),"N/A",G59))</f>
        <v>#N/A</v>
      </c>
      <c r="H118" s="3" t="e">
        <f>IF($G$118="N/A","N/A",D83*L83)</f>
        <v>#N/A</v>
      </c>
      <c r="I118" s="3" t="e">
        <f>IF($G$118="N/A","N/A",F83*L83)</f>
        <v>#N/A</v>
      </c>
      <c r="J118" s="3" t="e">
        <f>IF($G$118="N/A","N/A",ABS(G118/(2*H118)))</f>
        <v>#N/A</v>
      </c>
      <c r="K118" s="3" t="e">
        <f>IF($G$118="N/A","N/A",ABS(G118/(2*I118)))</f>
        <v>#N/A</v>
      </c>
      <c r="L118" s="3" t="e">
        <f>IF($G$118="N/A","N/A",R83/1000)</f>
        <v>#N/A</v>
      </c>
      <c r="M118" s="3" t="e">
        <f>IF($G$118="N/A","N/A",W83/1000)</f>
        <v>#N/A</v>
      </c>
      <c r="N118" s="57" t="e">
        <f>IF(OR(G118="N/A",J118=0),"N/A",IF(J118&lt;=L118,"OK","NG"))</f>
        <v>#N/A</v>
      </c>
      <c r="O118" s="57" t="e">
        <f>IF(OR(G118="N/A",K118=0),"N/A",IF(K118&lt;=M118,"OK","NG"))</f>
        <v>#N/A</v>
      </c>
      <c r="P118" s="61" t="e">
        <f>IF(OR(G118="N/A",J118=0),"N/A",ABS(L118/J118))</f>
        <v>#N/A</v>
      </c>
      <c r="Q118" s="61" t="e">
        <f>IF(OR(G118="N/A",K118=0),"N/A",ABS(M118/K118))</f>
        <v>#N/A</v>
      </c>
      <c r="R118" s="112"/>
      <c r="S118" s="112"/>
      <c r="T118" s="112"/>
      <c r="U118" s="112"/>
      <c r="V118" s="112"/>
      <c r="W118" s="112"/>
      <c r="X118" s="112"/>
      <c r="Y118" s="147"/>
      <c r="Z118" s="279"/>
      <c r="AC118" s="285" t="e">
        <f>IF(OR(AD118="NG",AE118="NG",AF118="NG",AG118="NG",AH118="NG"),1,0)</f>
        <v>#N/A</v>
      </c>
      <c r="AD118" s="286" t="e">
        <f t="shared" si="1"/>
        <v>#N/A</v>
      </c>
      <c r="AE118" s="286" t="e">
        <f t="shared" si="1"/>
        <v>#N/A</v>
      </c>
      <c r="AF118" s="287" t="e">
        <f t="shared" si="1"/>
        <v>#N/A</v>
      </c>
      <c r="AG118" s="287" t="e">
        <f t="shared" si="1"/>
        <v>#N/A</v>
      </c>
      <c r="AH118" s="285"/>
      <c r="AI118" s="285"/>
      <c r="AJ118" s="285"/>
      <c r="AK118" s="285"/>
    </row>
    <row r="119" spans="1:37" ht="20.100000000000001" customHeight="1">
      <c r="A119" s="151" t="str">
        <f>$A$84</f>
        <v>Diagonal (RT)</v>
      </c>
      <c r="B119" s="114" t="e">
        <f>$B$84</f>
        <v>#N/A</v>
      </c>
      <c r="C119" s="17" t="e">
        <f>$C$84</f>
        <v>#N/A</v>
      </c>
      <c r="D119" s="23" t="e">
        <f>$J$60</f>
        <v>#N/A</v>
      </c>
      <c r="E119" s="81" t="e">
        <f>$K$60</f>
        <v>#N/A</v>
      </c>
      <c r="F119" s="81" t="e">
        <f>$L$60</f>
        <v>#N/A</v>
      </c>
      <c r="G119" s="3" t="e">
        <f>IF(OR(C119="N/A",G60=0),"N/A",IF(OR(E119="No",F119="Yes"),"N/A",G60))</f>
        <v>#N/A</v>
      </c>
      <c r="H119" s="3" t="e">
        <f>IF($G$119="N/A","N/A",D84*L84)</f>
        <v>#N/A</v>
      </c>
      <c r="I119" s="3" t="e">
        <f>IF($G$119="N/A","N/A",F84*L84)</f>
        <v>#N/A</v>
      </c>
      <c r="J119" s="3" t="e">
        <f>IF($G$119="N/A","N/A",ABS(G119/(2*H119)))</f>
        <v>#N/A</v>
      </c>
      <c r="K119" s="3" t="e">
        <f>IF($G$119="N/A","N/A",ABS(G119/(2*I119)))</f>
        <v>#N/A</v>
      </c>
      <c r="L119" s="3" t="e">
        <f>IF($G$119="N/A","N/A",R84/1000)</f>
        <v>#N/A</v>
      </c>
      <c r="M119" s="3" t="e">
        <f>IF($G$119="N/A","N/A",W84/1000)</f>
        <v>#N/A</v>
      </c>
      <c r="N119" s="57" t="e">
        <f>IF(OR(G119="N/A",J119=0),"N/A",IF(J119&lt;=L119,"OK","NG"))</f>
        <v>#N/A</v>
      </c>
      <c r="O119" s="57" t="e">
        <f>IF(OR(G119="N/A",K119=0),"N/A",IF(K119&lt;=M119,"OK","NG"))</f>
        <v>#N/A</v>
      </c>
      <c r="P119" s="61" t="e">
        <f>IF(OR(G119="N/A",J119=0),"N/A",ABS(L119/J119))</f>
        <v>#N/A</v>
      </c>
      <c r="Q119" s="61" t="e">
        <f>IF(OR(G119="N/A",K119=0),"N/A",ABS(M119/K119))</f>
        <v>#N/A</v>
      </c>
      <c r="R119" s="112"/>
      <c r="S119" s="112"/>
      <c r="T119" s="112"/>
      <c r="U119" s="112"/>
      <c r="V119" s="112"/>
      <c r="W119" s="112"/>
      <c r="X119" s="112"/>
      <c r="Y119" s="147"/>
      <c r="Z119" s="279"/>
      <c r="AC119" s="285" t="e">
        <f>IF(OR(AD119="NG",AE119="NG",AF119="NG",AG119="NG",AH119="NG"),1,0)</f>
        <v>#N/A</v>
      </c>
      <c r="AD119" s="286" t="e">
        <f t="shared" si="1"/>
        <v>#N/A</v>
      </c>
      <c r="AE119" s="286" t="e">
        <f t="shared" si="1"/>
        <v>#N/A</v>
      </c>
      <c r="AF119" s="287" t="e">
        <f t="shared" si="1"/>
        <v>#N/A</v>
      </c>
      <c r="AG119" s="287" t="e">
        <f t="shared" si="1"/>
        <v>#N/A</v>
      </c>
      <c r="AH119" s="285"/>
      <c r="AI119" s="285"/>
      <c r="AJ119" s="285"/>
      <c r="AK119" s="285"/>
    </row>
    <row r="120" spans="1:37" ht="20.100000000000001" customHeight="1">
      <c r="A120" s="151" t="str">
        <f>$A$85</f>
        <v>Vertical</v>
      </c>
      <c r="B120" s="114" t="e">
        <f>$B$85</f>
        <v>#N/A</v>
      </c>
      <c r="C120" s="17" t="e">
        <f>$C$85</f>
        <v>#N/A</v>
      </c>
      <c r="D120" s="23" t="e">
        <f>$J$61</f>
        <v>#N/A</v>
      </c>
      <c r="E120" s="81" t="e">
        <f>$K$61</f>
        <v>#N/A</v>
      </c>
      <c r="F120" s="81" t="e">
        <f>$L$61</f>
        <v>#N/A</v>
      </c>
      <c r="G120" s="3" t="e">
        <f>IF(OR(C120="N/A",G61=0),"N/A",IF(OR(E120="No",F120="Yes"),"N/A",G61))</f>
        <v>#N/A</v>
      </c>
      <c r="H120" s="3" t="e">
        <f>IF($G$120="N/A","N/A",D85*L85)</f>
        <v>#N/A</v>
      </c>
      <c r="I120" s="3" t="e">
        <f>IF($G$120="N/A","N/A",F85*L85)</f>
        <v>#N/A</v>
      </c>
      <c r="J120" s="3" t="e">
        <f>IF($G$120="N/A","N/A",ABS(G120/(2*H120)))</f>
        <v>#N/A</v>
      </c>
      <c r="K120" s="3" t="e">
        <f>IF($G$120="N/A","N/A",ABS(G120/(2*I120)))</f>
        <v>#N/A</v>
      </c>
      <c r="L120" s="3" t="e">
        <f>IF($G$120="N/A","N/A",R85/1000)</f>
        <v>#N/A</v>
      </c>
      <c r="M120" s="3" t="e">
        <f>IF($G$120="N/A","N/A",W85/1000)</f>
        <v>#N/A</v>
      </c>
      <c r="N120" s="57" t="e">
        <f>IF(OR(G120="N/A",J120=0),"N/A",IF(J120&lt;=L120,"OK","NG"))</f>
        <v>#N/A</v>
      </c>
      <c r="O120" s="57" t="e">
        <f>IF(OR(G120="N/A",K120=0),"N/A",IF(K120&lt;=M120,"OK","NG"))</f>
        <v>#N/A</v>
      </c>
      <c r="P120" s="61" t="e">
        <f>IF(OR(G120="N/A",J120=0),"N/A",ABS(L120/J120))</f>
        <v>#N/A</v>
      </c>
      <c r="Q120" s="61" t="e">
        <f>IF(OR(G120="N/A",K120=0),"N/A",ABS(M120/K120))</f>
        <v>#N/A</v>
      </c>
      <c r="R120" s="112"/>
      <c r="S120" s="112"/>
      <c r="T120" s="112"/>
      <c r="U120" s="112"/>
      <c r="V120" s="112"/>
      <c r="W120" s="112"/>
      <c r="X120" s="112"/>
      <c r="Y120" s="147"/>
      <c r="Z120" s="279"/>
      <c r="AC120" s="285" t="e">
        <f>IF(OR(AD120="NG",AE120="NG",AF120="NG",AG120="NG",AH120="NG"),1,0)</f>
        <v>#N/A</v>
      </c>
      <c r="AD120" s="286" t="e">
        <f t="shared" si="1"/>
        <v>#N/A</v>
      </c>
      <c r="AE120" s="286" t="e">
        <f t="shared" si="1"/>
        <v>#N/A</v>
      </c>
      <c r="AF120" s="287" t="e">
        <f t="shared" si="1"/>
        <v>#N/A</v>
      </c>
      <c r="AG120" s="287" t="e">
        <f t="shared" si="1"/>
        <v>#N/A</v>
      </c>
      <c r="AH120" s="285"/>
      <c r="AI120" s="285"/>
      <c r="AJ120" s="285"/>
      <c r="AK120" s="285"/>
    </row>
    <row r="121" spans="1:37">
      <c r="A121" s="112"/>
      <c r="B121" s="112"/>
      <c r="C121" s="112"/>
      <c r="D121" s="112"/>
      <c r="E121" s="112"/>
      <c r="F121" s="112"/>
      <c r="G121" s="112"/>
      <c r="H121" s="112"/>
      <c r="I121" s="112"/>
      <c r="J121" s="112"/>
      <c r="K121" s="112"/>
      <c r="L121" s="100" t="s">
        <v>442</v>
      </c>
      <c r="M121" s="112"/>
      <c r="N121" s="112"/>
      <c r="O121" s="112"/>
      <c r="P121" s="112"/>
      <c r="Q121" s="112"/>
      <c r="R121" s="112"/>
      <c r="S121" s="112"/>
      <c r="T121" s="112"/>
      <c r="U121" s="112"/>
      <c r="V121" s="112"/>
      <c r="W121" s="112"/>
      <c r="X121" s="112"/>
      <c r="Y121" s="147"/>
      <c r="Z121" s="279"/>
      <c r="AC121" s="285"/>
      <c r="AD121" s="286"/>
      <c r="AE121" s="286"/>
      <c r="AF121" s="285"/>
      <c r="AG121" s="285"/>
      <c r="AH121" s="285"/>
      <c r="AI121" s="285"/>
      <c r="AJ121" s="285"/>
      <c r="AK121" s="285"/>
    </row>
    <row r="122" spans="1:37">
      <c r="A122" s="112"/>
      <c r="B122" s="112"/>
      <c r="C122" s="112"/>
      <c r="D122" s="112"/>
      <c r="E122" s="112"/>
      <c r="F122" s="112"/>
      <c r="G122" s="112"/>
      <c r="H122" s="112"/>
      <c r="I122" s="112"/>
      <c r="J122" s="112"/>
      <c r="K122" s="112"/>
      <c r="L122" s="112"/>
      <c r="M122" s="112"/>
      <c r="N122" s="112"/>
      <c r="O122" s="112"/>
      <c r="P122" s="112"/>
      <c r="Q122" s="112"/>
      <c r="R122" s="112"/>
      <c r="S122" s="112"/>
      <c r="T122" s="112"/>
      <c r="U122" s="112"/>
      <c r="V122" s="112"/>
      <c r="W122" s="112"/>
      <c r="X122" s="112"/>
      <c r="Y122" s="147"/>
      <c r="Z122" s="279"/>
      <c r="AC122" s="285"/>
      <c r="AD122" s="286"/>
      <c r="AE122" s="286"/>
      <c r="AF122" s="285"/>
      <c r="AG122" s="285"/>
      <c r="AH122" s="285"/>
      <c r="AI122" s="285"/>
      <c r="AJ122" s="285"/>
      <c r="AK122" s="285"/>
    </row>
    <row r="123" spans="1:37">
      <c r="A123" s="95" t="s">
        <v>429</v>
      </c>
      <c r="B123" s="112"/>
      <c r="C123" s="112"/>
      <c r="D123" s="112"/>
      <c r="E123" s="112"/>
      <c r="F123" s="112"/>
      <c r="G123" s="112"/>
      <c r="H123" s="112"/>
      <c r="I123" s="112"/>
      <c r="J123" s="112"/>
      <c r="K123" s="112"/>
      <c r="L123" s="112"/>
      <c r="M123" s="112"/>
      <c r="N123" s="112"/>
      <c r="O123" s="112"/>
      <c r="P123" s="112"/>
      <c r="Q123" s="112"/>
      <c r="R123" s="112"/>
      <c r="S123" s="112"/>
      <c r="T123" s="112"/>
      <c r="U123" s="112"/>
      <c r="V123" s="112"/>
      <c r="W123" s="112"/>
      <c r="X123" s="112"/>
      <c r="Y123" s="147"/>
      <c r="Z123" s="279"/>
      <c r="AC123" s="285"/>
      <c r="AD123" s="286"/>
      <c r="AE123" s="286"/>
      <c r="AF123" s="285"/>
      <c r="AG123" s="285"/>
      <c r="AH123" s="285"/>
      <c r="AI123" s="285"/>
      <c r="AJ123" s="285"/>
      <c r="AK123" s="285"/>
    </row>
    <row r="124" spans="1:37" ht="24">
      <c r="A124" s="220" t="s">
        <v>23</v>
      </c>
      <c r="B124" s="220" t="s">
        <v>25</v>
      </c>
      <c r="C124" s="221" t="s">
        <v>4</v>
      </c>
      <c r="D124" s="220" t="s">
        <v>64</v>
      </c>
      <c r="E124" s="381" t="s">
        <v>292</v>
      </c>
      <c r="F124" s="381" t="s">
        <v>293</v>
      </c>
      <c r="G124" s="381" t="s">
        <v>294</v>
      </c>
      <c r="H124" s="381" t="s">
        <v>295</v>
      </c>
      <c r="I124" s="112"/>
      <c r="J124" s="112"/>
      <c r="K124" s="112"/>
      <c r="L124" s="112"/>
      <c r="M124" s="112"/>
      <c r="N124" s="112"/>
      <c r="O124" s="112"/>
      <c r="P124" s="112"/>
      <c r="Q124" s="112"/>
      <c r="R124" s="112"/>
      <c r="S124" s="112"/>
      <c r="T124" s="112"/>
      <c r="U124" s="112"/>
      <c r="V124" s="112"/>
      <c r="W124" s="112"/>
      <c r="X124" s="112"/>
      <c r="Y124" s="147"/>
      <c r="Z124" s="279"/>
      <c r="AB124" s="286" t="s">
        <v>407</v>
      </c>
      <c r="AC124" s="286"/>
      <c r="AD124" s="286"/>
      <c r="AE124" s="286"/>
      <c r="AF124" s="285"/>
      <c r="AG124" s="285"/>
      <c r="AH124" s="285"/>
      <c r="AI124" s="285"/>
      <c r="AJ124" s="285"/>
      <c r="AK124" s="285"/>
    </row>
    <row r="125" spans="1:37">
      <c r="A125" s="222" t="str">
        <f>$A$81</f>
        <v>U/L Chord  (LT)</v>
      </c>
      <c r="B125" s="223" t="e">
        <f>$B$81</f>
        <v>#N/A</v>
      </c>
      <c r="C125" s="224" t="e">
        <f>$C$81</f>
        <v>#N/A</v>
      </c>
      <c r="D125" s="225" t="e">
        <f>$J$57</f>
        <v>#N/A</v>
      </c>
      <c r="E125" s="382" t="e">
        <f>IF(OR(G116="N/A",D125="Dead"),"N/A",(H116*L116)+(I116*M116))</f>
        <v>#N/A</v>
      </c>
      <c r="F125" s="382" t="e">
        <f>IF(E125="N/A","N/A",ABS(D57))</f>
        <v>#N/A</v>
      </c>
      <c r="G125" s="382" t="e">
        <f>IF(E125="N/A","N/A",ABS(E57))</f>
        <v>#N/A</v>
      </c>
      <c r="H125" s="382" t="e">
        <f>IF(E125="N/A","N/A",(E125-F125)/G125)</f>
        <v>#N/A</v>
      </c>
      <c r="I125" s="112"/>
      <c r="J125" s="112"/>
      <c r="K125" s="112"/>
      <c r="L125" s="112"/>
      <c r="M125" s="112"/>
      <c r="N125" s="112"/>
      <c r="O125" s="112"/>
      <c r="P125" s="112"/>
      <c r="Q125" s="112"/>
      <c r="R125" s="112"/>
      <c r="S125" s="112"/>
      <c r="T125" s="112"/>
      <c r="U125" s="112"/>
      <c r="V125" s="112"/>
      <c r="W125" s="112"/>
      <c r="X125" s="112"/>
      <c r="Y125" s="147"/>
      <c r="Z125" s="279"/>
      <c r="AB125" s="286" t="e">
        <f>H125</f>
        <v>#N/A</v>
      </c>
      <c r="AC125" s="286"/>
      <c r="AD125" s="286"/>
      <c r="AE125" s="286"/>
      <c r="AF125" s="285"/>
      <c r="AG125" s="285"/>
      <c r="AH125" s="285"/>
      <c r="AI125" s="285"/>
      <c r="AJ125" s="285"/>
      <c r="AK125" s="285"/>
    </row>
    <row r="126" spans="1:37">
      <c r="A126" s="222" t="str">
        <f>$A$82</f>
        <v>U/L Chord  (RT)</v>
      </c>
      <c r="B126" s="223" t="e">
        <f>$B$82</f>
        <v>#N/A</v>
      </c>
      <c r="C126" s="224" t="e">
        <f>$C$82</f>
        <v>#N/A</v>
      </c>
      <c r="D126" s="225" t="e">
        <f>$J$58</f>
        <v>#N/A</v>
      </c>
      <c r="E126" s="382" t="e">
        <f>IF(OR(G117="N/A",D126="Dead"),"N/A",(H117*L117)+(I117*M117))</f>
        <v>#N/A</v>
      </c>
      <c r="F126" s="382" t="e">
        <f>IF(E126="N/A","N/A",ABS(D58))</f>
        <v>#N/A</v>
      </c>
      <c r="G126" s="382" t="e">
        <f>IF(E126="N/A","N/A",ABS(E58))</f>
        <v>#N/A</v>
      </c>
      <c r="H126" s="382" t="e">
        <f>IF(E126="N/A","N/A",(E126-F126)/G126)</f>
        <v>#N/A</v>
      </c>
      <c r="I126" s="112"/>
      <c r="J126" s="112"/>
      <c r="K126" s="112"/>
      <c r="L126" s="112"/>
      <c r="M126" s="112"/>
      <c r="N126" s="112"/>
      <c r="O126" s="112"/>
      <c r="P126" s="112"/>
      <c r="Q126" s="112"/>
      <c r="R126" s="112"/>
      <c r="S126" s="112"/>
      <c r="T126" s="112"/>
      <c r="U126" s="112"/>
      <c r="V126" s="112"/>
      <c r="W126" s="112"/>
      <c r="X126" s="112"/>
      <c r="Y126" s="147"/>
      <c r="Z126" s="279"/>
      <c r="AB126" s="286" t="e">
        <f>H126</f>
        <v>#N/A</v>
      </c>
      <c r="AC126" s="286"/>
      <c r="AD126" s="286"/>
      <c r="AE126" s="286"/>
      <c r="AF126" s="285"/>
      <c r="AG126" s="285"/>
      <c r="AH126" s="285"/>
      <c r="AI126" s="285"/>
      <c r="AJ126" s="285"/>
      <c r="AK126" s="285"/>
    </row>
    <row r="127" spans="1:37">
      <c r="A127" s="222" t="str">
        <f>$A$83</f>
        <v>Diagonal (LT)</v>
      </c>
      <c r="B127" s="223" t="e">
        <f>$B$83</f>
        <v>#N/A</v>
      </c>
      <c r="C127" s="224" t="e">
        <f>$C$83</f>
        <v>#N/A</v>
      </c>
      <c r="D127" s="225" t="e">
        <f>$J$59</f>
        <v>#N/A</v>
      </c>
      <c r="E127" s="382" t="e">
        <f>IF(OR(G118="N/A",D127="Dead"),"N/A",(H118*L118)+(I118*M118))</f>
        <v>#N/A</v>
      </c>
      <c r="F127" s="382" t="e">
        <f>IF(E127="N/A","N/A",ABS(D59))</f>
        <v>#N/A</v>
      </c>
      <c r="G127" s="382" t="e">
        <f>IF(E127="N/A","N/A",ABS(E59))</f>
        <v>#N/A</v>
      </c>
      <c r="H127" s="382" t="e">
        <f>IF(E127="N/A","N/A",(E127-F127)/G127)</f>
        <v>#N/A</v>
      </c>
      <c r="I127" s="112"/>
      <c r="J127" s="112"/>
      <c r="K127" s="112"/>
      <c r="L127" s="112"/>
      <c r="M127" s="112"/>
      <c r="N127" s="112"/>
      <c r="O127" s="112"/>
      <c r="P127" s="112"/>
      <c r="Q127" s="112"/>
      <c r="R127" s="112"/>
      <c r="S127" s="112"/>
      <c r="T127" s="112"/>
      <c r="U127" s="112"/>
      <c r="V127" s="112"/>
      <c r="W127" s="112"/>
      <c r="X127" s="112"/>
      <c r="Y127" s="147"/>
      <c r="Z127" s="279"/>
      <c r="AB127" s="286" t="e">
        <f>H127</f>
        <v>#N/A</v>
      </c>
      <c r="AC127" s="286"/>
      <c r="AD127" s="286"/>
      <c r="AE127" s="286"/>
      <c r="AF127" s="285"/>
      <c r="AG127" s="285"/>
      <c r="AH127" s="285"/>
      <c r="AI127" s="285"/>
      <c r="AJ127" s="285"/>
      <c r="AK127" s="285"/>
    </row>
    <row r="128" spans="1:37">
      <c r="A128" s="222" t="str">
        <f>$A$84</f>
        <v>Diagonal (RT)</v>
      </c>
      <c r="B128" s="223" t="e">
        <f>$B$84</f>
        <v>#N/A</v>
      </c>
      <c r="C128" s="224" t="e">
        <f>$C$84</f>
        <v>#N/A</v>
      </c>
      <c r="D128" s="225" t="e">
        <f>$J$60</f>
        <v>#N/A</v>
      </c>
      <c r="E128" s="382" t="e">
        <f>IF(OR(G119="N/A",D128="Dead"),"N/A",(H119*L119)+(I119*M119))</f>
        <v>#N/A</v>
      </c>
      <c r="F128" s="382" t="e">
        <f>IF(E128="N/A","N/A",ABS(D60))</f>
        <v>#N/A</v>
      </c>
      <c r="G128" s="382" t="e">
        <f>IF(E128="N/A","N/A",ABS(E60))</f>
        <v>#N/A</v>
      </c>
      <c r="H128" s="382" t="e">
        <f>IF(E128="N/A","N/A",(E128-F128)/G128)</f>
        <v>#N/A</v>
      </c>
      <c r="I128" s="112"/>
      <c r="J128" s="112"/>
      <c r="K128" s="112"/>
      <c r="L128" s="112"/>
      <c r="M128" s="112"/>
      <c r="N128" s="112"/>
      <c r="O128" s="112"/>
      <c r="P128" s="112"/>
      <c r="Q128" s="112"/>
      <c r="R128" s="112"/>
      <c r="S128" s="112"/>
      <c r="T128" s="112"/>
      <c r="U128" s="112"/>
      <c r="V128" s="112"/>
      <c r="W128" s="112"/>
      <c r="X128" s="112"/>
      <c r="Y128" s="147"/>
      <c r="Z128" s="279"/>
      <c r="AB128" s="286" t="e">
        <f>H128</f>
        <v>#N/A</v>
      </c>
      <c r="AC128" s="286"/>
      <c r="AD128" s="286"/>
      <c r="AE128" s="286"/>
      <c r="AF128" s="285"/>
      <c r="AG128" s="285"/>
      <c r="AH128" s="285"/>
      <c r="AI128" s="285"/>
      <c r="AJ128" s="285"/>
      <c r="AK128" s="285"/>
    </row>
    <row r="129" spans="1:37">
      <c r="A129" s="222" t="str">
        <f>$A$85</f>
        <v>Vertical</v>
      </c>
      <c r="B129" s="223" t="e">
        <f>$B$85</f>
        <v>#N/A</v>
      </c>
      <c r="C129" s="224" t="e">
        <f>$C$85</f>
        <v>#N/A</v>
      </c>
      <c r="D129" s="225" t="e">
        <f>$J$61</f>
        <v>#N/A</v>
      </c>
      <c r="E129" s="382" t="e">
        <f>IF(OR(G120="N/A",D129="Dead"),"N/A",(H120*L120)+(I120*M120))</f>
        <v>#N/A</v>
      </c>
      <c r="F129" s="382" t="e">
        <f>IF(E129="N/A","N/A",ABS(D61))</f>
        <v>#N/A</v>
      </c>
      <c r="G129" s="382" t="e">
        <f>IF(E129="N/A","N/A",ABS(E61))</f>
        <v>#N/A</v>
      </c>
      <c r="H129" s="382" t="e">
        <f>IF(E129="N/A","N/A",(E129-F129)/G129)</f>
        <v>#N/A</v>
      </c>
      <c r="I129" s="112"/>
      <c r="J129" s="112"/>
      <c r="K129" s="112"/>
      <c r="L129" s="112"/>
      <c r="M129" s="112"/>
      <c r="N129" s="112"/>
      <c r="O129" s="112"/>
      <c r="P129" s="112"/>
      <c r="Q129" s="112"/>
      <c r="R129" s="112"/>
      <c r="S129" s="112"/>
      <c r="T129" s="112"/>
      <c r="U129" s="112"/>
      <c r="V129" s="112"/>
      <c r="W129" s="112"/>
      <c r="X129" s="112"/>
      <c r="Y129" s="147"/>
      <c r="Z129" s="279"/>
      <c r="AB129" s="286" t="e">
        <f>H129</f>
        <v>#N/A</v>
      </c>
      <c r="AC129" s="286"/>
      <c r="AD129" s="286"/>
      <c r="AE129" s="286"/>
      <c r="AF129" s="285"/>
      <c r="AG129" s="285"/>
      <c r="AH129" s="285"/>
      <c r="AI129" s="285"/>
      <c r="AJ129" s="285"/>
      <c r="AK129" s="285"/>
    </row>
    <row r="130" spans="1:37">
      <c r="A130" s="112"/>
      <c r="B130" s="112"/>
      <c r="C130" s="112"/>
      <c r="D130" s="112"/>
      <c r="E130" s="112"/>
      <c r="F130" s="112"/>
      <c r="G130" s="112"/>
      <c r="H130" s="112"/>
      <c r="I130" s="112"/>
      <c r="J130" s="112"/>
      <c r="K130" s="112"/>
      <c r="L130" s="112"/>
      <c r="M130" s="112"/>
      <c r="N130" s="112"/>
      <c r="O130" s="112"/>
      <c r="P130" s="112"/>
      <c r="Q130" s="112"/>
      <c r="R130" s="112"/>
      <c r="S130" s="112"/>
      <c r="T130" s="112"/>
      <c r="U130" s="112"/>
      <c r="V130" s="112"/>
      <c r="W130" s="112"/>
      <c r="X130" s="112"/>
      <c r="Y130" s="147"/>
      <c r="Z130" s="279"/>
      <c r="AC130" s="285"/>
      <c r="AD130" s="286"/>
      <c r="AE130" s="286"/>
      <c r="AF130" s="285"/>
      <c r="AG130" s="285"/>
      <c r="AH130" s="285"/>
      <c r="AI130" s="285"/>
      <c r="AJ130" s="285"/>
      <c r="AK130" s="285"/>
    </row>
    <row r="131" spans="1:37">
      <c r="A131" s="112"/>
      <c r="B131" s="112"/>
      <c r="C131" s="112"/>
      <c r="D131" s="112"/>
      <c r="E131" s="112"/>
      <c r="F131" s="112"/>
      <c r="G131" s="112"/>
      <c r="H131" s="112"/>
      <c r="I131" s="112"/>
      <c r="J131" s="112"/>
      <c r="K131" s="112"/>
      <c r="L131" s="112"/>
      <c r="M131" s="112"/>
      <c r="N131" s="112"/>
      <c r="O131" s="112"/>
      <c r="P131" s="112"/>
      <c r="Q131" s="112"/>
      <c r="R131" s="112"/>
      <c r="S131" s="112"/>
      <c r="T131" s="112"/>
      <c r="U131" s="112"/>
      <c r="V131" s="112"/>
      <c r="W131" s="112"/>
      <c r="X131" s="112"/>
      <c r="Y131" s="147"/>
      <c r="Z131" s="279"/>
      <c r="AC131" s="285"/>
      <c r="AD131" s="286"/>
      <c r="AE131" s="286"/>
      <c r="AF131" s="285"/>
      <c r="AG131" s="285"/>
      <c r="AH131" s="285"/>
      <c r="AI131" s="285"/>
      <c r="AJ131" s="285"/>
      <c r="AK131" s="285"/>
    </row>
    <row r="132" spans="1:37">
      <c r="A132" s="112"/>
      <c r="B132" s="112"/>
      <c r="C132" s="112"/>
      <c r="D132" s="112"/>
      <c r="E132" s="112"/>
      <c r="F132" s="112"/>
      <c r="G132" s="112"/>
      <c r="H132" s="112"/>
      <c r="I132" s="112"/>
      <c r="J132" s="112"/>
      <c r="K132" s="112"/>
      <c r="L132" s="112"/>
      <c r="M132" s="112"/>
      <c r="N132" s="112"/>
      <c r="O132" s="112"/>
      <c r="P132" s="112"/>
      <c r="Q132" s="112"/>
      <c r="R132" s="112"/>
      <c r="S132" s="112"/>
      <c r="T132" s="112"/>
      <c r="U132" s="112"/>
      <c r="V132" s="112"/>
      <c r="W132" s="112"/>
      <c r="X132" s="112"/>
      <c r="Y132" s="147"/>
      <c r="Z132" s="279"/>
      <c r="AC132" s="285"/>
      <c r="AD132" s="286"/>
      <c r="AE132" s="286"/>
      <c r="AF132" s="285"/>
      <c r="AG132" s="285"/>
      <c r="AH132" s="285"/>
      <c r="AI132" s="285"/>
      <c r="AJ132" s="285"/>
      <c r="AK132" s="285"/>
    </row>
    <row r="133" spans="1:37">
      <c r="A133" s="112"/>
      <c r="B133" s="112"/>
      <c r="C133" s="112"/>
      <c r="D133" s="112"/>
      <c r="E133" s="112"/>
      <c r="F133" s="112"/>
      <c r="G133" s="112"/>
      <c r="H133" s="112"/>
      <c r="I133" s="112"/>
      <c r="J133" s="112"/>
      <c r="K133" s="112"/>
      <c r="L133" s="112"/>
      <c r="M133" s="112"/>
      <c r="N133" s="112"/>
      <c r="O133" s="112"/>
      <c r="P133" s="112"/>
      <c r="Q133" s="112"/>
      <c r="R133" s="112"/>
      <c r="S133" s="112"/>
      <c r="T133" s="112"/>
      <c r="U133" s="112"/>
      <c r="V133" s="112"/>
      <c r="W133" s="112"/>
      <c r="X133" s="112"/>
      <c r="Y133" s="147"/>
      <c r="Z133" s="279"/>
      <c r="AC133" s="285"/>
      <c r="AD133" s="286"/>
      <c r="AE133" s="286"/>
      <c r="AF133" s="285"/>
      <c r="AG133" s="285"/>
      <c r="AH133" s="285"/>
      <c r="AI133" s="285"/>
      <c r="AJ133" s="285"/>
      <c r="AK133" s="285"/>
    </row>
    <row r="134" spans="1:37">
      <c r="A134" s="112"/>
      <c r="B134" s="112"/>
      <c r="C134" s="112"/>
      <c r="D134" s="112"/>
      <c r="E134" s="112"/>
      <c r="F134" s="112"/>
      <c r="G134" s="112"/>
      <c r="H134" s="112"/>
      <c r="I134" s="112"/>
      <c r="J134" s="112"/>
      <c r="K134" s="112"/>
      <c r="L134" s="112"/>
      <c r="M134" s="112"/>
      <c r="N134" s="112"/>
      <c r="O134" s="112"/>
      <c r="P134" s="112"/>
      <c r="Q134" s="112"/>
      <c r="R134" s="112"/>
      <c r="S134" s="112"/>
      <c r="T134" s="112"/>
      <c r="U134" s="112"/>
      <c r="V134" s="112"/>
      <c r="W134" s="112"/>
      <c r="X134" s="112"/>
      <c r="Y134" s="147"/>
      <c r="Z134" s="279"/>
      <c r="AC134" s="285"/>
      <c r="AD134" s="285"/>
      <c r="AE134" s="285"/>
      <c r="AF134" s="285"/>
      <c r="AG134" s="285"/>
      <c r="AH134" s="285"/>
      <c r="AI134" s="285"/>
      <c r="AJ134" s="285"/>
      <c r="AK134" s="285"/>
    </row>
    <row r="135" spans="1:37">
      <c r="A135" s="93" t="s">
        <v>281</v>
      </c>
      <c r="B135" s="112"/>
      <c r="C135" s="112"/>
      <c r="D135" s="112"/>
      <c r="E135" s="112"/>
      <c r="F135" s="112"/>
      <c r="G135" s="112"/>
      <c r="H135" s="112"/>
      <c r="I135" s="112"/>
      <c r="J135" s="112"/>
      <c r="K135" s="112"/>
      <c r="L135" s="112"/>
      <c r="M135" s="112"/>
      <c r="N135" s="112"/>
      <c r="O135" s="112"/>
      <c r="P135" s="112"/>
      <c r="Q135" s="112"/>
      <c r="R135" s="112"/>
      <c r="S135" s="112"/>
      <c r="T135" s="112"/>
      <c r="U135" s="112"/>
      <c r="V135" s="112"/>
      <c r="W135" s="112"/>
      <c r="X135" s="112"/>
      <c r="Y135" s="147"/>
      <c r="Z135" s="279"/>
      <c r="AA135" s="288" t="e">
        <f>MIN(AB155:AB159)</f>
        <v>#N/A</v>
      </c>
      <c r="AB135" s="282" t="e">
        <f>MIN(AH146:AK150)</f>
        <v>#N/A</v>
      </c>
      <c r="AC135" s="283" t="e">
        <f>IF(SUM(AC146:AC150)=0,"OK","NG")</f>
        <v>#N/A</v>
      </c>
      <c r="AD135" s="284" t="str">
        <f>A135</f>
        <v>3: Minimum Rivet Count Requirement</v>
      </c>
      <c r="AE135" s="285"/>
      <c r="AF135" s="285"/>
      <c r="AG135" s="285"/>
      <c r="AH135" s="285"/>
      <c r="AI135" s="285"/>
      <c r="AJ135" s="285"/>
      <c r="AK135" s="285"/>
    </row>
    <row r="136" spans="1:37">
      <c r="A136" s="93"/>
      <c r="B136" s="112"/>
      <c r="C136" s="112"/>
      <c r="D136" s="112"/>
      <c r="E136" s="112"/>
      <c r="F136" s="112"/>
      <c r="G136" s="112"/>
      <c r="H136" s="112"/>
      <c r="I136" s="112"/>
      <c r="J136" s="112"/>
      <c r="K136" s="112"/>
      <c r="L136" s="112"/>
      <c r="M136" s="112"/>
      <c r="N136" s="112"/>
      <c r="O136" s="112"/>
      <c r="P136" s="112"/>
      <c r="Q136" s="112"/>
      <c r="R136" s="112"/>
      <c r="S136" s="112"/>
      <c r="T136" s="112"/>
      <c r="U136" s="112"/>
      <c r="V136" s="112"/>
      <c r="W136" s="112"/>
      <c r="X136" s="112"/>
      <c r="Y136" s="147"/>
      <c r="Z136" s="279"/>
      <c r="AC136" s="285"/>
      <c r="AD136" s="285"/>
      <c r="AE136" s="285"/>
      <c r="AF136" s="285"/>
      <c r="AG136" s="285"/>
      <c r="AH136" s="285"/>
      <c r="AI136" s="285"/>
      <c r="AJ136" s="285"/>
      <c r="AK136" s="285"/>
    </row>
    <row r="137" spans="1:37">
      <c r="A137" s="112" t="s">
        <v>73</v>
      </c>
      <c r="B137" s="43">
        <f>$B$23</f>
        <v>0.875</v>
      </c>
      <c r="C137" s="112" t="s">
        <v>44</v>
      </c>
      <c r="D137" s="112"/>
      <c r="E137" s="112"/>
      <c r="F137" s="112"/>
      <c r="G137" s="112"/>
      <c r="H137" s="112"/>
      <c r="I137" s="112"/>
      <c r="J137" s="112"/>
      <c r="K137" s="112"/>
      <c r="L137" s="112"/>
      <c r="M137" s="112"/>
      <c r="N137" s="112"/>
      <c r="O137" s="112"/>
      <c r="P137" s="112"/>
      <c r="Q137" s="112"/>
      <c r="R137" s="112"/>
      <c r="S137" s="112"/>
      <c r="T137" s="112"/>
      <c r="U137" s="112"/>
      <c r="V137" s="112"/>
      <c r="W137" s="112"/>
      <c r="X137" s="112"/>
      <c r="Y137" s="147"/>
      <c r="Z137" s="279"/>
      <c r="AC137" s="285"/>
      <c r="AD137" s="285"/>
      <c r="AE137" s="285"/>
      <c r="AF137" s="285"/>
      <c r="AG137" s="285"/>
      <c r="AH137" s="285"/>
      <c r="AI137" s="285"/>
      <c r="AJ137" s="285"/>
      <c r="AK137" s="285"/>
    </row>
    <row r="138" spans="1:37">
      <c r="A138" s="112" t="s">
        <v>72</v>
      </c>
      <c r="B138" s="43">
        <f>PI()*($B$23/2)^2</f>
        <v>0.6013204688511713</v>
      </c>
      <c r="C138" s="112" t="s">
        <v>71</v>
      </c>
      <c r="D138" s="112"/>
      <c r="E138" s="112"/>
      <c r="F138" s="112"/>
      <c r="G138" s="112"/>
      <c r="H138" s="112"/>
      <c r="I138" s="112"/>
      <c r="J138" s="112"/>
      <c r="K138" s="112"/>
      <c r="L138" s="112"/>
      <c r="M138" s="112"/>
      <c r="N138" s="112"/>
      <c r="O138" s="112"/>
      <c r="P138" s="112"/>
      <c r="Q138" s="112"/>
      <c r="R138" s="112"/>
      <c r="S138" s="112"/>
      <c r="T138" s="112"/>
      <c r="U138" s="112"/>
      <c r="V138" s="112"/>
      <c r="W138" s="112"/>
      <c r="X138" s="112"/>
      <c r="Y138" s="147"/>
      <c r="Z138" s="279"/>
      <c r="AC138" s="285"/>
      <c r="AD138" s="285"/>
      <c r="AE138" s="285"/>
      <c r="AF138" s="285"/>
      <c r="AG138" s="285"/>
      <c r="AH138" s="285"/>
      <c r="AI138" s="285"/>
      <c r="AJ138" s="285"/>
      <c r="AK138" s="285"/>
    </row>
    <row r="139" spans="1:37" ht="13.5" customHeight="1">
      <c r="A139" s="112"/>
      <c r="B139" s="112"/>
      <c r="C139" s="112"/>
      <c r="D139" s="112"/>
      <c r="E139" s="112"/>
      <c r="F139" s="112"/>
      <c r="G139" s="112"/>
      <c r="H139" s="112"/>
      <c r="I139" s="112"/>
      <c r="J139" s="112"/>
      <c r="K139" s="112"/>
      <c r="L139" s="112"/>
      <c r="M139" s="112"/>
      <c r="N139" s="112"/>
      <c r="O139" s="112"/>
      <c r="P139" s="112"/>
      <c r="Q139" s="112"/>
      <c r="R139" s="112"/>
      <c r="S139" s="112"/>
      <c r="T139" s="112"/>
      <c r="U139" s="112"/>
      <c r="V139" s="112"/>
      <c r="W139" s="112"/>
      <c r="X139" s="112"/>
      <c r="Y139" s="147"/>
      <c r="Z139" s="279"/>
      <c r="AC139" s="285"/>
      <c r="AD139" s="285"/>
      <c r="AE139" s="285"/>
      <c r="AF139" s="285"/>
      <c r="AG139" s="285"/>
      <c r="AH139" s="285"/>
      <c r="AI139" s="285"/>
      <c r="AJ139" s="285"/>
      <c r="AK139" s="285"/>
    </row>
    <row r="140" spans="1:37" ht="25.5">
      <c r="A140" s="110" t="s">
        <v>74</v>
      </c>
      <c r="B140" s="110" t="s">
        <v>75</v>
      </c>
      <c r="C140" s="110" t="s">
        <v>76</v>
      </c>
      <c r="D140" s="112"/>
      <c r="E140" s="112"/>
      <c r="F140" s="112"/>
      <c r="G140" s="112"/>
      <c r="H140" s="112"/>
      <c r="I140" s="112"/>
      <c r="J140" s="112"/>
      <c r="K140" s="112"/>
      <c r="L140" s="112"/>
      <c r="M140" s="112"/>
      <c r="N140" s="112"/>
      <c r="O140" s="112"/>
      <c r="P140" s="112"/>
      <c r="Q140" s="112"/>
      <c r="R140" s="112"/>
      <c r="S140" s="112"/>
      <c r="T140" s="112"/>
      <c r="U140" s="112"/>
      <c r="V140" s="112"/>
      <c r="W140" s="112"/>
      <c r="X140" s="112"/>
      <c r="Y140" s="147"/>
      <c r="Z140" s="279"/>
      <c r="AC140" s="285"/>
      <c r="AD140" s="285"/>
      <c r="AE140" s="285"/>
      <c r="AF140" s="285"/>
      <c r="AG140" s="285"/>
      <c r="AH140" s="285"/>
      <c r="AI140" s="285"/>
      <c r="AJ140" s="285"/>
      <c r="AK140" s="285"/>
    </row>
    <row r="141" spans="1:37">
      <c r="A141" s="3">
        <f>$G$35/1000</f>
        <v>0</v>
      </c>
      <c r="B141" s="3">
        <f>$H$35/1000</f>
        <v>0</v>
      </c>
      <c r="C141" s="3">
        <f>$I$35/1000</f>
        <v>0</v>
      </c>
      <c r="D141" s="112"/>
      <c r="E141" s="112"/>
      <c r="F141" s="112"/>
      <c r="G141" s="112"/>
      <c r="H141" s="112"/>
      <c r="I141" s="112"/>
      <c r="J141" s="112"/>
      <c r="K141" s="112"/>
      <c r="L141" s="112"/>
      <c r="M141" s="112"/>
      <c r="N141" s="112"/>
      <c r="O141" s="112"/>
      <c r="P141" s="112"/>
      <c r="Q141" s="112"/>
      <c r="R141" s="112"/>
      <c r="S141" s="112"/>
      <c r="T141" s="112"/>
      <c r="U141" s="112"/>
      <c r="V141" s="112"/>
      <c r="W141" s="112"/>
      <c r="X141" s="112"/>
      <c r="Y141" s="147"/>
      <c r="Z141" s="279"/>
      <c r="AC141" s="285"/>
      <c r="AD141" s="285"/>
      <c r="AE141" s="285"/>
      <c r="AF141" s="285"/>
      <c r="AG141" s="285"/>
      <c r="AH141" s="285"/>
      <c r="AI141" s="285"/>
      <c r="AJ141" s="285"/>
      <c r="AK141" s="285"/>
    </row>
    <row r="142" spans="1:37">
      <c r="A142" s="84"/>
      <c r="B142" s="84"/>
      <c r="C142" s="84"/>
      <c r="D142" s="112"/>
      <c r="E142" s="112"/>
      <c r="F142" s="112"/>
      <c r="G142" s="112"/>
      <c r="H142" s="112"/>
      <c r="I142" s="112"/>
      <c r="J142" s="112"/>
      <c r="K142" s="112"/>
      <c r="L142" s="112"/>
      <c r="M142" s="112"/>
      <c r="N142" s="112"/>
      <c r="O142" s="112"/>
      <c r="P142" s="112"/>
      <c r="Q142" s="112"/>
      <c r="R142" s="112"/>
      <c r="S142" s="112"/>
      <c r="T142" s="112"/>
      <c r="U142" s="112"/>
      <c r="V142" s="112"/>
      <c r="W142" s="112"/>
      <c r="X142" s="112"/>
      <c r="Y142" s="147"/>
      <c r="Z142" s="279"/>
      <c r="AC142" s="285"/>
      <c r="AD142" s="285"/>
      <c r="AE142" s="285"/>
      <c r="AF142" s="285"/>
      <c r="AG142" s="285"/>
      <c r="AH142" s="285"/>
      <c r="AI142" s="285"/>
      <c r="AJ142" s="285"/>
      <c r="AK142" s="285"/>
    </row>
    <row r="143" spans="1:37" ht="20.100000000000001" customHeight="1">
      <c r="A143" s="112"/>
      <c r="B143" s="112"/>
      <c r="C143" s="112"/>
      <c r="D143" s="112"/>
      <c r="E143" s="112"/>
      <c r="F143" s="112"/>
      <c r="G143" s="112"/>
      <c r="H143" s="112"/>
      <c r="I143" s="112"/>
      <c r="J143" s="112"/>
      <c r="K143" s="112"/>
      <c r="L143" s="112"/>
      <c r="M143" s="112"/>
      <c r="N143" s="112"/>
      <c r="O143" s="112"/>
      <c r="P143" s="112"/>
      <c r="Q143" s="112"/>
      <c r="R143" s="112"/>
      <c r="S143" s="112"/>
      <c r="T143" s="112"/>
      <c r="U143" s="112"/>
      <c r="V143" s="112"/>
      <c r="W143" s="112"/>
      <c r="X143" s="112"/>
      <c r="Y143" s="147"/>
      <c r="Z143" s="279"/>
      <c r="AC143" s="285"/>
      <c r="AD143" s="285"/>
      <c r="AE143" s="285"/>
      <c r="AF143" s="285"/>
      <c r="AG143" s="285"/>
      <c r="AH143" s="285"/>
      <c r="AI143" s="285"/>
      <c r="AJ143" s="285"/>
      <c r="AK143" s="285"/>
    </row>
    <row r="144" spans="1:37">
      <c r="A144" s="95" t="s">
        <v>446</v>
      </c>
      <c r="B144" s="112"/>
      <c r="C144" s="112"/>
      <c r="D144" s="112"/>
      <c r="E144" s="112"/>
      <c r="F144" s="112"/>
      <c r="G144" s="112"/>
      <c r="H144" s="112"/>
      <c r="I144" s="112"/>
      <c r="J144" s="112"/>
      <c r="K144" s="112"/>
      <c r="L144" s="112"/>
      <c r="M144" s="112"/>
      <c r="N144" s="112"/>
      <c r="O144" s="112"/>
      <c r="P144" s="112"/>
      <c r="Q144" s="112"/>
      <c r="R144" s="112"/>
      <c r="S144" s="112"/>
      <c r="T144" s="112"/>
      <c r="U144" s="112"/>
      <c r="V144" s="112"/>
      <c r="W144" s="112"/>
      <c r="X144" s="112"/>
      <c r="Y144" s="147"/>
      <c r="Z144" s="279"/>
      <c r="AC144" s="285"/>
      <c r="AD144" s="285"/>
      <c r="AE144" s="285"/>
      <c r="AF144" s="285"/>
      <c r="AG144" s="285"/>
      <c r="AH144" s="285"/>
      <c r="AI144" s="285"/>
      <c r="AJ144" s="285"/>
      <c r="AK144" s="285"/>
    </row>
    <row r="145" spans="1:42" ht="87" customHeight="1">
      <c r="A145" s="5" t="s">
        <v>23</v>
      </c>
      <c r="B145" s="5" t="s">
        <v>25</v>
      </c>
      <c r="C145" s="48" t="s">
        <v>4</v>
      </c>
      <c r="D145" s="5" t="s">
        <v>64</v>
      </c>
      <c r="E145" s="80" t="s">
        <v>179</v>
      </c>
      <c r="F145" s="80" t="s">
        <v>180</v>
      </c>
      <c r="G145" s="2" t="s">
        <v>324</v>
      </c>
      <c r="H145" s="10" t="s">
        <v>287</v>
      </c>
      <c r="I145" s="109" t="s">
        <v>45</v>
      </c>
      <c r="J145" s="109" t="s">
        <v>46</v>
      </c>
      <c r="K145" s="54" t="s">
        <v>182</v>
      </c>
      <c r="L145" s="10" t="s">
        <v>83</v>
      </c>
      <c r="M145" s="10" t="s">
        <v>84</v>
      </c>
      <c r="N145" s="10" t="s">
        <v>86</v>
      </c>
      <c r="O145" s="10" t="s">
        <v>85</v>
      </c>
      <c r="P145" s="88" t="s">
        <v>88</v>
      </c>
      <c r="Q145" s="88" t="s">
        <v>89</v>
      </c>
      <c r="R145" s="88" t="s">
        <v>87</v>
      </c>
      <c r="S145" s="88" t="s">
        <v>90</v>
      </c>
      <c r="T145" s="49" t="s">
        <v>148</v>
      </c>
      <c r="U145" s="49" t="s">
        <v>112</v>
      </c>
      <c r="V145" s="49" t="s">
        <v>147</v>
      </c>
      <c r="W145" s="49" t="s">
        <v>146</v>
      </c>
      <c r="X145" s="112"/>
      <c r="Y145" s="147"/>
      <c r="Z145" s="279"/>
      <c r="AA145" s="289"/>
      <c r="AC145" s="285"/>
      <c r="AD145" s="285"/>
      <c r="AE145" s="285"/>
      <c r="AF145" s="285"/>
      <c r="AG145" s="285"/>
      <c r="AH145" s="285"/>
      <c r="AI145" s="285"/>
      <c r="AJ145" s="285"/>
      <c r="AK145" s="285"/>
    </row>
    <row r="146" spans="1:42" ht="15" customHeight="1">
      <c r="A146" s="151" t="str">
        <f>$A$81</f>
        <v>U/L Chord  (LT)</v>
      </c>
      <c r="B146" s="114" t="e">
        <f>$B$81</f>
        <v>#N/A</v>
      </c>
      <c r="C146" s="17" t="e">
        <f>$C$81</f>
        <v>#N/A</v>
      </c>
      <c r="D146" s="23" t="e">
        <f>J57</f>
        <v>#N/A</v>
      </c>
      <c r="E146" s="81" t="e">
        <f>IF(D146="Dead","N/A",$K$57)</f>
        <v>#N/A</v>
      </c>
      <c r="F146" s="81" t="e">
        <f>IF(D146="Dead","N/A",$L$57)</f>
        <v>#N/A</v>
      </c>
      <c r="G146" s="156" t="e">
        <f>IF(OR(C146="N/A",D146="Dead"),"N/A",IF(E146="No","N/A",IF(AND(D146="Compression",F146="Yes"),ABS(G57)/2,IF(D146="Compression",ABS(G57),IF(D146="Tension",ABS(H57),MAX(ABS(G57),ABS(H57)))))))</f>
        <v>#N/A</v>
      </c>
      <c r="H146" s="31" t="e">
        <f>IF(OR(D146="N/A",D146="Dead"),"N/A",$I$81)</f>
        <v>#N/A</v>
      </c>
      <c r="I146" s="25" t="e">
        <f>IF(OR(D146="N/A",D146="Dead"),"N/A",$D$81)</f>
        <v>#N/A</v>
      </c>
      <c r="J146" s="25" t="e">
        <f>IF(OR(D146="N/A",D146="Dead"),"N/A",$F$81)</f>
        <v>#N/A</v>
      </c>
      <c r="K146" s="26" t="e">
        <f>IF(OR(D146="N/A",D146="Dead"),"N/A",$H$81)</f>
        <v>#N/A</v>
      </c>
      <c r="L146" s="16" t="e">
        <f>IF(OR(C146="N/A",G146="N/A",D146="Dead",D146="N/A"),"N/A",IF(E146="No","N/A",INT(G146/((I146+J146)*$B$137*$A$141)))+1)</f>
        <v>#N/A</v>
      </c>
      <c r="M146" s="16" t="e">
        <f>IF(OR(C146="N/A",K146="N/A"),"N/A",IF(E146="No","N/A",INT(G146/((K146)*$B$137*$A$141))+1))</f>
        <v>#N/A</v>
      </c>
      <c r="N146" s="16" t="e">
        <f>IF(OR(C146="N/A",K146="N/A"),"N/A",IF(E146="No","N/A",INT(G146/MIN((K146*$B$137*$C$141),((I146+J146)*$B$137*$C$141)))+1))</f>
        <v>#N/A</v>
      </c>
      <c r="O146" s="16" t="e">
        <f>IF(OR(C146="N/A",K146="N/A"),"N/A",IF(E146="No","N/A",INT(G146/($B$138*$B$141*K81))+1))</f>
        <v>#N/A</v>
      </c>
      <c r="P146" s="29" t="e">
        <f>IF(OR(C146="N/A",K146="N/A"),"N/A",IF(E146="No","N/A",IF(H146&gt;=L146,"OK","NG")))</f>
        <v>#N/A</v>
      </c>
      <c r="Q146" s="29" t="e">
        <f>IF(OR(C146="N/A",K146="N/A"),"N/A",IF(E146="No","N/A",IF(H146&gt;=M146,"OK","NG")))</f>
        <v>#N/A</v>
      </c>
      <c r="R146" s="29" t="e">
        <f>IF(OR(C146="N/A",K146="N/A"),"N/A",IF(E146="No","N/A",IF(H146&gt;=N146,"OK","NG")))</f>
        <v>#N/A</v>
      </c>
      <c r="S146" s="29" t="e">
        <f>IF(OR(C146="N/A",K146="N/A"),"N/A",IF(E146="No","N/A",IF(H146&gt;=O146,"OK","NG")))</f>
        <v>#N/A</v>
      </c>
      <c r="T146" s="61" t="e">
        <f>IF(OR(C146="N/A",K146="N/A"),"N/A",IF(C146="N/A","N/A",IF(E146="No","N/A",(H146/L146))))</f>
        <v>#N/A</v>
      </c>
      <c r="U146" s="61" t="e">
        <f>IF(OR(C146="N/A",K146="N/A"),"N/A",IF(C146="N/A","N/A",IF(E146="No","N/A",(H146/M146))))</f>
        <v>#N/A</v>
      </c>
      <c r="V146" s="61" t="e">
        <f>IF(OR(C146="N/A",K146="N/A"),"N/A",IF(C146="N/A","N/A",IF(E146="No","N/A",(H146/N146))))</f>
        <v>#N/A</v>
      </c>
      <c r="W146" s="61" t="e">
        <f>IF(OR(C146="N/A",K146="N/A"),"N/A",IF(C146="N/A","N/A",IF(E146="No","N/A",(H146/O146))))</f>
        <v>#N/A</v>
      </c>
      <c r="X146" s="112"/>
      <c r="Y146" s="147"/>
      <c r="Z146" s="279"/>
      <c r="AA146" s="289"/>
      <c r="AB146" s="280" t="e">
        <f>IF(OR(AD146="N/A",AE146="N/A",AF146="N/A",AG146="N/A"),0,1)</f>
        <v>#N/A</v>
      </c>
      <c r="AC146" s="285" t="e">
        <f>IF(OR(AD146="NG",AE146="NG",AF146="NG",AG146="NG",AH146="NG",AI146="NG",AJ146="NG",AK146="NG"),1,0)</f>
        <v>#N/A</v>
      </c>
      <c r="AD146" s="286" t="e">
        <f t="shared" ref="AD146:AK150" si="2">P146</f>
        <v>#N/A</v>
      </c>
      <c r="AE146" s="286" t="e">
        <f t="shared" si="2"/>
        <v>#N/A</v>
      </c>
      <c r="AF146" s="286" t="e">
        <f t="shared" si="2"/>
        <v>#N/A</v>
      </c>
      <c r="AG146" s="286" t="e">
        <f t="shared" si="2"/>
        <v>#N/A</v>
      </c>
      <c r="AH146" s="287" t="e">
        <f t="shared" si="2"/>
        <v>#N/A</v>
      </c>
      <c r="AI146" s="287" t="e">
        <f t="shared" si="2"/>
        <v>#N/A</v>
      </c>
      <c r="AJ146" s="287" t="e">
        <f t="shared" si="2"/>
        <v>#N/A</v>
      </c>
      <c r="AK146" s="287" t="e">
        <f t="shared" si="2"/>
        <v>#N/A</v>
      </c>
      <c r="AL146" s="282"/>
    </row>
    <row r="147" spans="1:42" ht="15" customHeight="1">
      <c r="A147" s="151" t="str">
        <f>$A$82</f>
        <v>U/L Chord  (RT)</v>
      </c>
      <c r="B147" s="114" t="e">
        <f>$B$82</f>
        <v>#N/A</v>
      </c>
      <c r="C147" s="17" t="e">
        <f>$C$82</f>
        <v>#N/A</v>
      </c>
      <c r="D147" s="23" t="e">
        <f>J58</f>
        <v>#N/A</v>
      </c>
      <c r="E147" s="81" t="e">
        <f>IF(D147="Dead","N/A",$K$58)</f>
        <v>#N/A</v>
      </c>
      <c r="F147" s="81" t="e">
        <f>IF(D147="Dead","N/A",$L$58)</f>
        <v>#N/A</v>
      </c>
      <c r="G147" s="156" t="e">
        <f>IF(OR(C147="N/A",D147="Dead"),"N/A",IF(E147="No","N/A",IF(AND(D147="Compression",F147="Yes"),ABS(G58)/2,IF(D147="Compression",ABS(G58),IF(D147="Tension",ABS(H58),MAX(ABS(G58),ABS(H58)))))))</f>
        <v>#N/A</v>
      </c>
      <c r="H147" s="31" t="e">
        <f>IF(OR(D147="N/A",D147="Dead"),"N/A",$I$82)</f>
        <v>#N/A</v>
      </c>
      <c r="I147" s="25" t="e">
        <f>IF(D147="Dead","N/A",$D$82)</f>
        <v>#N/A</v>
      </c>
      <c r="J147" s="25" t="e">
        <f>IF(D147="Dead","N/A",$F$82)</f>
        <v>#N/A</v>
      </c>
      <c r="K147" s="26" t="e">
        <f>IF(D147="Dead","N/A",$H$82)</f>
        <v>#N/A</v>
      </c>
      <c r="L147" s="16" t="e">
        <f>IF(OR(C147="N/A",G147="N/A",D147="Dead",D147="N/A"),"N/A",IF(E147="No","N/A",INT(G147/((I147+J147)*$B$137*$A$141)))+1)</f>
        <v>#N/A</v>
      </c>
      <c r="M147" s="16" t="e">
        <f>IF(OR(C147="N/A",K147="N/A"),"N/A",IF(E147="No","N/A",INT(G147/((K147)*$B$137*$A$141))+1))</f>
        <v>#N/A</v>
      </c>
      <c r="N147" s="16" t="e">
        <f>IF(OR(C147="N/A",K147="N/A"),"N/A",IF(E147="No","N/A",INT(G147/MIN((K147*$B$137*$C$141),((I147+J147)*$B$137*$C$141)))+1))</f>
        <v>#N/A</v>
      </c>
      <c r="O147" s="16" t="e">
        <f>IF(OR(C147="N/A",K147="N/A"),"N/A",IF(E147="No","N/A",INT(G147/($B$138*$B$141*K82))+1))</f>
        <v>#N/A</v>
      </c>
      <c r="P147" s="29" t="e">
        <f>IF(OR(C147="N/A",K147="N/A"),"N/A",IF(E147="No","N/A",IF(H147&gt;=L147,"OK","NG")))</f>
        <v>#N/A</v>
      </c>
      <c r="Q147" s="29" t="e">
        <f>IF(OR(C147="N/A",K147="N/A"),"N/A",IF(E147="No","N/A",IF(H147&gt;=M147,"OK","NG")))</f>
        <v>#N/A</v>
      </c>
      <c r="R147" s="29" t="e">
        <f>IF(OR(C147="N/A",K147="N/A"),"N/A",IF(E147="No","N/A",IF(H147&gt;=N147,"OK","NG")))</f>
        <v>#N/A</v>
      </c>
      <c r="S147" s="29" t="e">
        <f>IF(OR(C147="N/A",K147="N/A"),"N/A",IF(E147="No","N/A",IF(H147&gt;=O147,"OK","NG")))</f>
        <v>#N/A</v>
      </c>
      <c r="T147" s="61" t="e">
        <f>IF(OR(C147="N/A",K147="N/A"),"N/A",IF(C147="N/A","N/A",IF(E147="No","N/A",(H147/L147))))</f>
        <v>#N/A</v>
      </c>
      <c r="U147" s="61" t="e">
        <f>IF(OR(C147="N/A",K147="N/A"),"N/A",IF(C147="N/A","N/A",IF(E147="No","N/A",(H147/M147))))</f>
        <v>#N/A</v>
      </c>
      <c r="V147" s="61" t="e">
        <f>IF(OR(C147="N/A",K147="N/A"),"N/A",IF(C147="N/A","N/A",IF(E147="No","N/A",(H147/N147))))</f>
        <v>#N/A</v>
      </c>
      <c r="W147" s="61" t="e">
        <f>IF(OR(C147="N/A",K147="N/A"),"N/A",IF(C147="N/A","N/A",IF(E147="No","N/A",(H147/O147))))</f>
        <v>#N/A</v>
      </c>
      <c r="X147" s="112"/>
      <c r="Y147" s="147"/>
      <c r="Z147" s="279"/>
      <c r="AA147" s="289"/>
      <c r="AB147" s="280" t="e">
        <f>IF(OR(AD147="N/A",AE147="N/A",AF147="N/A",AG147="N/A"),0,1)</f>
        <v>#N/A</v>
      </c>
      <c r="AC147" s="285" t="e">
        <f>IF(OR(AD147="NG",AE147="NG",AF147="NG",AG147="NG",AH147="NG",AI147="NG",AJ147="NG",AK147="NG"),1,0)</f>
        <v>#N/A</v>
      </c>
      <c r="AD147" s="286" t="e">
        <f t="shared" si="2"/>
        <v>#N/A</v>
      </c>
      <c r="AE147" s="286" t="e">
        <f t="shared" si="2"/>
        <v>#N/A</v>
      </c>
      <c r="AF147" s="286" t="e">
        <f t="shared" si="2"/>
        <v>#N/A</v>
      </c>
      <c r="AG147" s="286" t="e">
        <f t="shared" si="2"/>
        <v>#N/A</v>
      </c>
      <c r="AH147" s="287" t="e">
        <f t="shared" si="2"/>
        <v>#N/A</v>
      </c>
      <c r="AI147" s="287" t="e">
        <f t="shared" si="2"/>
        <v>#N/A</v>
      </c>
      <c r="AJ147" s="287" t="e">
        <f t="shared" si="2"/>
        <v>#N/A</v>
      </c>
      <c r="AK147" s="287" t="e">
        <f t="shared" si="2"/>
        <v>#N/A</v>
      </c>
      <c r="AL147" s="282"/>
      <c r="AP147" s="261"/>
    </row>
    <row r="148" spans="1:42" ht="15" customHeight="1">
      <c r="A148" s="151" t="str">
        <f>$A$83</f>
        <v>Diagonal (LT)</v>
      </c>
      <c r="B148" s="114" t="e">
        <f>$B$83</f>
        <v>#N/A</v>
      </c>
      <c r="C148" s="17" t="e">
        <f>$C$83</f>
        <v>#N/A</v>
      </c>
      <c r="D148" s="23" t="e">
        <f>J59</f>
        <v>#N/A</v>
      </c>
      <c r="E148" s="81" t="e">
        <f>IF(D148="Dead","N/A",$K$59)</f>
        <v>#N/A</v>
      </c>
      <c r="F148" s="81" t="e">
        <f>IF(D148="Dead","N/A",$L$59)</f>
        <v>#N/A</v>
      </c>
      <c r="G148" s="156" t="e">
        <f>IF(OR(C148="N/A",D148="Dead"),"N/A",IF(E148="No","N/A",IF(AND(D148="Compression",F148="Yes"),ABS(G59)/2,IF(D148="Compression",ABS(G59),IF(D148="Tension",ABS(H59),MAX(ABS(G59),ABS(H59)))))))</f>
        <v>#N/A</v>
      </c>
      <c r="H148" s="31" t="e">
        <f>IF(OR(D148="N/A",D148="Dead"),"N/A",$I$83)</f>
        <v>#N/A</v>
      </c>
      <c r="I148" s="25" t="e">
        <f>IF(OR(D148="N/A",D148="Dead"),"N/A",$D$83)</f>
        <v>#N/A</v>
      </c>
      <c r="J148" s="25" t="e">
        <f>IF(OR(D148="N/A",D148="Dead"),"N/A",$F$83)</f>
        <v>#N/A</v>
      </c>
      <c r="K148" s="26" t="e">
        <f>IF(OR(D148="N/A",D148="Dead"),"N/A",$H$83)</f>
        <v>#N/A</v>
      </c>
      <c r="L148" s="16" t="e">
        <f>IF(OR(C148="N/A",G148="N/A",D148="Dead",D148="N/A"),"N/A",IF(E148="No","N/A",INT(G148/((I148+J148)*$B$137*$A$141)))+1)</f>
        <v>#N/A</v>
      </c>
      <c r="M148" s="16" t="e">
        <f>IF(OR(C148="N/A",K148="N/A"),"N/A",IF(E148="No","N/A",INT(G148/((K148)*$B$137*$A$141))+1))</f>
        <v>#N/A</v>
      </c>
      <c r="N148" s="16" t="e">
        <f>IF(OR(C148="N/A",K148="N/A"),"N/A",IF(E148="No","N/A",INT(G148/MIN((K148*$B$137*$C$141),((I148+J148)*$B$137*$C$141)))+1))</f>
        <v>#N/A</v>
      </c>
      <c r="O148" s="16" t="e">
        <f>IF(OR(C148="N/A",K148="N/A"),"N/A",IF(E148="No","N/A",INT(G148/($B$138*$B$141*K83))+1))</f>
        <v>#N/A</v>
      </c>
      <c r="P148" s="29" t="e">
        <f>IF(OR(C148="N/A",K148="N/A"),"N/A",IF(E148="No","N/A",IF(H148&gt;=L148,"OK","NG")))</f>
        <v>#N/A</v>
      </c>
      <c r="Q148" s="29" t="e">
        <f>IF(OR(C148="N/A",K148="N/A"),"N/A",IF(E148="No","N/A",IF(H148&gt;=M148,"OK","NG")))</f>
        <v>#N/A</v>
      </c>
      <c r="R148" s="29" t="e">
        <f>IF(OR(C148="N/A",K148="N/A"),"N/A",IF(E148="No","N/A",IF(H148&gt;=N148,"OK","NG")))</f>
        <v>#N/A</v>
      </c>
      <c r="S148" s="29" t="e">
        <f>IF(OR(C148="N/A",K148="N/A"),"N/A",IF(E148="No","N/A",IF(H148&gt;=O148,"OK","NG")))</f>
        <v>#N/A</v>
      </c>
      <c r="T148" s="61" t="e">
        <f>IF(OR(C148="N/A",K148="N/A"),"N/A",IF(C148="N/A","N/A",IF(E148="No","N/A",(H148/L148))))</f>
        <v>#N/A</v>
      </c>
      <c r="U148" s="61" t="e">
        <f>IF(OR(C148="N/A",K148="N/A"),"N/A",IF(C148="N/A","N/A",IF(E148="No","N/A",(H148/M148))))</f>
        <v>#N/A</v>
      </c>
      <c r="V148" s="61" t="e">
        <f>IF(OR(C148="N/A",K148="N/A"),"N/A",IF(C148="N/A","N/A",IF(E148="No","N/A",(H148/N148))))</f>
        <v>#N/A</v>
      </c>
      <c r="W148" s="61" t="e">
        <f>IF(OR(C148="N/A",K148="N/A"),"N/A",IF(C148="N/A","N/A",IF(E148="No","N/A",(H148/O148))))</f>
        <v>#N/A</v>
      </c>
      <c r="X148" s="112"/>
      <c r="Y148" s="147"/>
      <c r="Z148" s="279"/>
      <c r="AA148" s="289"/>
      <c r="AB148" s="280" t="e">
        <f>IF(OR(AD148="N/A",AE148="N/A",AF148="N/A",AG148="N/A"),0,1)</f>
        <v>#N/A</v>
      </c>
      <c r="AC148" s="285" t="e">
        <f>IF(OR(AD148="NG",AE148="NG",AF148="NG",AG148="NG",AH148="NG",AI148="NG",AJ148="NG",AK148="NG"),1,0)</f>
        <v>#N/A</v>
      </c>
      <c r="AD148" s="286" t="e">
        <f t="shared" si="2"/>
        <v>#N/A</v>
      </c>
      <c r="AE148" s="286" t="e">
        <f t="shared" si="2"/>
        <v>#N/A</v>
      </c>
      <c r="AF148" s="286" t="e">
        <f t="shared" si="2"/>
        <v>#N/A</v>
      </c>
      <c r="AG148" s="286" t="e">
        <f t="shared" si="2"/>
        <v>#N/A</v>
      </c>
      <c r="AH148" s="287" t="e">
        <f t="shared" si="2"/>
        <v>#N/A</v>
      </c>
      <c r="AI148" s="287" t="e">
        <f t="shared" si="2"/>
        <v>#N/A</v>
      </c>
      <c r="AJ148" s="287" t="e">
        <f t="shared" si="2"/>
        <v>#N/A</v>
      </c>
      <c r="AK148" s="287" t="e">
        <f t="shared" si="2"/>
        <v>#N/A</v>
      </c>
      <c r="AL148" s="282"/>
    </row>
    <row r="149" spans="1:42" ht="15" customHeight="1">
      <c r="A149" s="151" t="str">
        <f>$A$84</f>
        <v>Diagonal (RT)</v>
      </c>
      <c r="B149" s="114" t="e">
        <f>$B$84</f>
        <v>#N/A</v>
      </c>
      <c r="C149" s="17" t="e">
        <f>$C$84</f>
        <v>#N/A</v>
      </c>
      <c r="D149" s="23" t="e">
        <f>J60</f>
        <v>#N/A</v>
      </c>
      <c r="E149" s="81" t="e">
        <f>IF(D149="Dead","N/A",$K$60)</f>
        <v>#N/A</v>
      </c>
      <c r="F149" s="81" t="e">
        <f>IF(D149="Dead","N/A",$L$60)</f>
        <v>#N/A</v>
      </c>
      <c r="G149" s="156" t="e">
        <f>IF(OR(C149="N/A",D149="Dead"),"N/A",IF(E149="No","N/A",IF(AND(D149="Compression",F149="Yes"),ABS(G60)/2,IF(D149="Compression",ABS(G60),IF(D149="Tension",ABS(H60),MAX(ABS(G60),ABS(H60)))))))</f>
        <v>#N/A</v>
      </c>
      <c r="H149" s="31" t="e">
        <f>IF(OR(D149="N/A",D149="Dead"),"N/A",$I$84)</f>
        <v>#N/A</v>
      </c>
      <c r="I149" s="25" t="e">
        <f>IF(OR(D149="N/A",D149="Dead"),"N/A",$D$84)</f>
        <v>#N/A</v>
      </c>
      <c r="J149" s="25" t="e">
        <f>IF(OR(D149="N/A",D149="Dead"),"N/A",$F$84)</f>
        <v>#N/A</v>
      </c>
      <c r="K149" s="26" t="e">
        <f>IF(OR(D149="N/A",D149="Dead"),"N/A",$H$84)</f>
        <v>#N/A</v>
      </c>
      <c r="L149" s="16" t="e">
        <f>IF(OR(C149="N/A",G149="N/A",D149="Dead",D149="N/A"),"N/A",IF(E149="No","N/A",INT(G149/((I149+J149)*$B$137*$A$141)))+1)</f>
        <v>#N/A</v>
      </c>
      <c r="M149" s="16" t="e">
        <f>IF(OR(C149="N/A",K149="N/A"),"N/A",IF(E149="No","N/A",INT(G149/((K149)*$B$137*$A$141))+1))</f>
        <v>#N/A</v>
      </c>
      <c r="N149" s="16" t="e">
        <f>IF(OR(C149="N/A",K149="N/A"),"N/A",IF(E149="No","N/A",INT(G149/MIN((K149*$B$137*$C$141),((I149+J149)*$B$137*$C$141)))+1))</f>
        <v>#N/A</v>
      </c>
      <c r="O149" s="16" t="e">
        <f>IF(OR(C149="N/A",K149="N/A"),"N/A",IF(E149="No","N/A",INT(G149/($B$138*$B$141*K84))+1))</f>
        <v>#N/A</v>
      </c>
      <c r="P149" s="29" t="e">
        <f>IF(OR(C149="N/A",K149="N/A"),"N/A",IF(E149="No","N/A",IF(H149&gt;=L149,"OK","NG")))</f>
        <v>#N/A</v>
      </c>
      <c r="Q149" s="29" t="e">
        <f>IF(OR(C149="N/A",K149="N/A"),"N/A",IF(E149="No","N/A",IF(H149&gt;=M149,"OK","NG")))</f>
        <v>#N/A</v>
      </c>
      <c r="R149" s="29" t="e">
        <f>IF(OR(C149="N/A",K149="N/A"),"N/A",IF(E149="No","N/A",IF(H149&gt;=N149,"OK","NG")))</f>
        <v>#N/A</v>
      </c>
      <c r="S149" s="29" t="e">
        <f>IF(OR(C149="N/A",K149="N/A"),"N/A",IF(E149="No","N/A",IF(H149&gt;=O149,"OK","NG")))</f>
        <v>#N/A</v>
      </c>
      <c r="T149" s="61" t="e">
        <f>IF(OR(C149="N/A",K149="N/A"),"N/A",IF(C149="N/A","N/A",IF(E149="No","N/A",(H149/L149))))</f>
        <v>#N/A</v>
      </c>
      <c r="U149" s="61" t="e">
        <f>IF(OR(C149="N/A",K149="N/A"),"N/A",IF(C149="N/A","N/A",IF(E149="No","N/A",(H149/M149))))</f>
        <v>#N/A</v>
      </c>
      <c r="V149" s="61" t="e">
        <f>IF(OR(C149="N/A",K149="N/A"),"N/A",IF(C149="N/A","N/A",IF(E149="No","N/A",(H149/N149))))</f>
        <v>#N/A</v>
      </c>
      <c r="W149" s="61" t="e">
        <f>IF(OR(C149="N/A",K149="N/A"),"N/A",IF(C149="N/A","N/A",IF(E149="No","N/A",(H149/O149))))</f>
        <v>#N/A</v>
      </c>
      <c r="X149" s="112"/>
      <c r="Y149" s="147"/>
      <c r="Z149" s="279"/>
      <c r="AA149" s="289"/>
      <c r="AB149" s="280" t="e">
        <f>IF(OR(AD149="N/A",AE149="N/A",AF149="N/A",AG149="N/A"),0,1)</f>
        <v>#N/A</v>
      </c>
      <c r="AC149" s="285" t="e">
        <f>IF(OR(AD149="NG",AE149="NG",AF149="NG",AG149="NG",AH149="NG",AI149="NG",AJ149="NG",AK149="NG"),1,0)</f>
        <v>#N/A</v>
      </c>
      <c r="AD149" s="286" t="e">
        <f t="shared" si="2"/>
        <v>#N/A</v>
      </c>
      <c r="AE149" s="286" t="e">
        <f t="shared" si="2"/>
        <v>#N/A</v>
      </c>
      <c r="AF149" s="286" t="e">
        <f t="shared" si="2"/>
        <v>#N/A</v>
      </c>
      <c r="AG149" s="286" t="e">
        <f t="shared" si="2"/>
        <v>#N/A</v>
      </c>
      <c r="AH149" s="287" t="e">
        <f t="shared" si="2"/>
        <v>#N/A</v>
      </c>
      <c r="AI149" s="287" t="e">
        <f t="shared" si="2"/>
        <v>#N/A</v>
      </c>
      <c r="AJ149" s="287" t="e">
        <f t="shared" si="2"/>
        <v>#N/A</v>
      </c>
      <c r="AK149" s="287" t="e">
        <f t="shared" si="2"/>
        <v>#N/A</v>
      </c>
      <c r="AL149" s="282"/>
    </row>
    <row r="150" spans="1:42" ht="15" customHeight="1">
      <c r="A150" s="151" t="str">
        <f>$A$85</f>
        <v>Vertical</v>
      </c>
      <c r="B150" s="114" t="e">
        <f>$B$85</f>
        <v>#N/A</v>
      </c>
      <c r="C150" s="17" t="e">
        <f>$C$85</f>
        <v>#N/A</v>
      </c>
      <c r="D150" s="23" t="e">
        <f>J61</f>
        <v>#N/A</v>
      </c>
      <c r="E150" s="81" t="e">
        <f>IF(D150="Dead","N/A",$K$61)</f>
        <v>#N/A</v>
      </c>
      <c r="F150" s="81" t="e">
        <f>IF(D150="Dead","N/A",$L$61)</f>
        <v>#N/A</v>
      </c>
      <c r="G150" s="156" t="e">
        <f>IF(OR(C150="N/A",D150="Dead"),"N/A",IF(E150="No","N/A",IF(AND(D150="Compression",F150="Yes"),ABS(G61)/2,IF(D150="Compression",ABS(G61),IF(D150="Tension",ABS(H61),MAX(ABS(G61),ABS(H61)))))))</f>
        <v>#N/A</v>
      </c>
      <c r="H150" s="31" t="e">
        <f>IF(OR(D150="N/A",D150="Dead"),"N/A",$I$85)</f>
        <v>#N/A</v>
      </c>
      <c r="I150" s="25" t="e">
        <f>IF(OR(D150="N/A",D150="Dead"),"N/A",$D$85)</f>
        <v>#N/A</v>
      </c>
      <c r="J150" s="25" t="e">
        <f>IF(OR(D150="N/A",D150="Dead"),"N/A",$F$85)</f>
        <v>#N/A</v>
      </c>
      <c r="K150" s="26" t="e">
        <f>IF(OR(D150="N/A",D150="Dead"),"N/A",$H$85)</f>
        <v>#N/A</v>
      </c>
      <c r="L150" s="16" t="e">
        <f>IF(OR(C150="N/A",G150="N/A",D150="Dead",D150="N/A"),"N/A",IF(E150="No","N/A",INT(G150/((I150+J150)*$B$137*$A$141)))+1)</f>
        <v>#N/A</v>
      </c>
      <c r="M150" s="16" t="e">
        <f>IF(OR(C150="N/A",K150="N/A"),"N/A",IF(E150="No","N/A",INT(G150/((K150)*$B$137*$A$141))+1))</f>
        <v>#N/A</v>
      </c>
      <c r="N150" s="16" t="e">
        <f>IF(OR(C150="N/A",K150="N/A"),"N/A",IF(E150="No","N/A",INT(G150/MIN((K150*$B$137*$C$141),((I150+J150)*$B$137*$C$141)))+1))</f>
        <v>#N/A</v>
      </c>
      <c r="O150" s="16" t="e">
        <f>IF(OR(C150="N/A",K150="N/A"),"N/A",IF(E150="No","N/A",INT(G150/($B$138*$B$141*K85))+1))</f>
        <v>#N/A</v>
      </c>
      <c r="P150" s="29" t="e">
        <f>IF(OR(C150="N/A",K150="N/A"),"N/A",IF(E150="No","N/A",IF(H150&gt;=L150,"OK","NG")))</f>
        <v>#N/A</v>
      </c>
      <c r="Q150" s="29" t="e">
        <f>IF(OR(C150="N/A",K150="N/A"),"N/A",IF(E150="No","N/A",IF(H150&gt;=M150,"OK","NG")))</f>
        <v>#N/A</v>
      </c>
      <c r="R150" s="29" t="e">
        <f>IF(OR(C150="N/A",K150="N/A"),"N/A",IF(E150="No","N/A",IF(H150&gt;=N150,"OK","NG")))</f>
        <v>#N/A</v>
      </c>
      <c r="S150" s="29" t="e">
        <f>IF(OR(C150="N/A",K150="N/A"),"N/A",IF(E150="No","N/A",IF(H150&gt;=O150,"OK","NG")))</f>
        <v>#N/A</v>
      </c>
      <c r="T150" s="61" t="e">
        <f>IF(OR(C150="N/A",K150="N/A"),"N/A",IF(C150="N/A","N/A",IF(E150="No","N/A",(H150/L150))))</f>
        <v>#N/A</v>
      </c>
      <c r="U150" s="61" t="e">
        <f>IF(OR(C150="N/A",K150="N/A"),"N/A",IF(C150="N/A","N/A",IF(E150="No","N/A",(H150/M150))))</f>
        <v>#N/A</v>
      </c>
      <c r="V150" s="61" t="e">
        <f>IF(OR(C150="N/A",K150="N/A"),"N/A",IF(C150="N/A","N/A",IF(E150="No","N/A",(H150/N150))))</f>
        <v>#N/A</v>
      </c>
      <c r="W150" s="61" t="e">
        <f>IF(OR(C150="N/A",K150="N/A"),"N/A",IF(C150="N/A","N/A",IF(E150="No","N/A",(H150/O150))))</f>
        <v>#N/A</v>
      </c>
      <c r="X150" s="112"/>
      <c r="Y150" s="147"/>
      <c r="Z150" s="279"/>
      <c r="AA150" s="289"/>
      <c r="AB150" s="280" t="e">
        <f>IF(OR(AD150="N/A",AE150="N/A",AF150="N/A",AG150="N/A"),0,1)</f>
        <v>#N/A</v>
      </c>
      <c r="AC150" s="285" t="e">
        <f>IF(OR(AD150="NG",AE150="NG",AF150="NG",AG150="NG",AH150="NG",AI150="NG",AJ150="NG",AK150="NG"),1,0)</f>
        <v>#N/A</v>
      </c>
      <c r="AD150" s="286" t="e">
        <f t="shared" si="2"/>
        <v>#N/A</v>
      </c>
      <c r="AE150" s="286" t="e">
        <f t="shared" si="2"/>
        <v>#N/A</v>
      </c>
      <c r="AF150" s="286" t="e">
        <f t="shared" si="2"/>
        <v>#N/A</v>
      </c>
      <c r="AG150" s="286" t="e">
        <f t="shared" si="2"/>
        <v>#N/A</v>
      </c>
      <c r="AH150" s="287" t="e">
        <f t="shared" si="2"/>
        <v>#N/A</v>
      </c>
      <c r="AI150" s="287" t="e">
        <f t="shared" si="2"/>
        <v>#N/A</v>
      </c>
      <c r="AJ150" s="287" t="e">
        <f t="shared" si="2"/>
        <v>#N/A</v>
      </c>
      <c r="AK150" s="287" t="e">
        <f t="shared" si="2"/>
        <v>#N/A</v>
      </c>
      <c r="AL150" s="282"/>
    </row>
    <row r="151" spans="1:42">
      <c r="A151" s="112"/>
      <c r="B151" s="112"/>
      <c r="C151" s="112"/>
      <c r="D151" s="112"/>
      <c r="E151" s="112"/>
      <c r="F151" s="112"/>
      <c r="G151" s="100" t="s">
        <v>441</v>
      </c>
      <c r="H151" s="112"/>
      <c r="I151" s="112"/>
      <c r="J151" s="112"/>
      <c r="K151" s="112"/>
      <c r="L151" s="112"/>
      <c r="M151" s="112"/>
      <c r="N151" s="112"/>
      <c r="O151" s="112"/>
      <c r="P151" s="112"/>
      <c r="Q151" s="112"/>
      <c r="R151" s="112"/>
      <c r="S151" s="112"/>
      <c r="T151" s="112"/>
      <c r="U151" s="112"/>
      <c r="V151" s="112"/>
      <c r="W151" s="112"/>
      <c r="X151" s="112"/>
      <c r="Y151" s="147"/>
      <c r="Z151" s="279"/>
      <c r="AA151" s="289"/>
      <c r="AC151" s="285"/>
      <c r="AD151" s="285"/>
      <c r="AE151" s="285"/>
      <c r="AF151" s="285"/>
      <c r="AG151" s="285"/>
      <c r="AH151" s="285"/>
      <c r="AI151" s="285"/>
      <c r="AJ151" s="285"/>
      <c r="AK151" s="285"/>
    </row>
    <row r="152" spans="1:42">
      <c r="A152" s="112"/>
      <c r="B152" s="112"/>
      <c r="C152" s="112"/>
      <c r="D152" s="112"/>
      <c r="E152" s="112"/>
      <c r="F152" s="112"/>
      <c r="G152" s="100"/>
      <c r="H152" s="112"/>
      <c r="I152" s="112"/>
      <c r="J152" s="112"/>
      <c r="K152" s="112"/>
      <c r="L152" s="112"/>
      <c r="M152" s="112"/>
      <c r="N152" s="112"/>
      <c r="O152" s="112"/>
      <c r="P152" s="112"/>
      <c r="Q152" s="112"/>
      <c r="R152" s="112"/>
      <c r="S152" s="112"/>
      <c r="T152" s="112"/>
      <c r="U152" s="112"/>
      <c r="V152" s="112"/>
      <c r="W152" s="112"/>
      <c r="X152" s="112"/>
      <c r="Y152" s="147"/>
      <c r="Z152" s="279"/>
      <c r="AA152" s="289"/>
      <c r="AC152" s="285"/>
      <c r="AD152" s="285"/>
      <c r="AE152" s="285"/>
      <c r="AF152" s="285"/>
      <c r="AG152" s="285"/>
      <c r="AH152" s="285"/>
      <c r="AI152" s="285"/>
      <c r="AJ152" s="285"/>
      <c r="AK152" s="285"/>
    </row>
    <row r="153" spans="1:42">
      <c r="A153" s="95" t="s">
        <v>418</v>
      </c>
      <c r="B153" s="112"/>
      <c r="C153" s="112"/>
      <c r="D153" s="112"/>
      <c r="E153" s="112"/>
      <c r="F153" s="112"/>
      <c r="G153" s="112"/>
      <c r="H153" s="112"/>
      <c r="I153" s="112"/>
      <c r="J153" s="112"/>
      <c r="K153" s="112"/>
      <c r="L153" s="112"/>
      <c r="M153" s="112"/>
      <c r="N153" s="112"/>
      <c r="O153" s="112"/>
      <c r="P153" s="112"/>
      <c r="Q153" s="112"/>
      <c r="R153" s="112"/>
      <c r="S153" s="112"/>
      <c r="T153" s="112"/>
      <c r="U153" s="112"/>
      <c r="V153" s="112"/>
      <c r="W153" s="112"/>
      <c r="X153" s="112"/>
      <c r="Y153" s="147"/>
      <c r="Z153" s="279"/>
      <c r="AA153" s="289"/>
      <c r="AC153" s="285"/>
      <c r="AD153" s="285"/>
      <c r="AE153" s="285"/>
      <c r="AF153" s="285"/>
      <c r="AG153" s="285"/>
      <c r="AH153" s="285"/>
      <c r="AI153" s="285"/>
      <c r="AJ153" s="285"/>
      <c r="AK153" s="285"/>
    </row>
    <row r="154" spans="1:42" ht="48">
      <c r="A154" s="220" t="s">
        <v>23</v>
      </c>
      <c r="B154" s="220" t="s">
        <v>25</v>
      </c>
      <c r="C154" s="221" t="s">
        <v>4</v>
      </c>
      <c r="D154" s="220" t="s">
        <v>64</v>
      </c>
      <c r="E154" s="381" t="s">
        <v>297</v>
      </c>
      <c r="F154" s="381" t="s">
        <v>296</v>
      </c>
      <c r="G154" s="381" t="s">
        <v>298</v>
      </c>
      <c r="H154" s="381" t="s">
        <v>299</v>
      </c>
      <c r="I154" s="381" t="s">
        <v>443</v>
      </c>
      <c r="J154" s="381" t="s">
        <v>444</v>
      </c>
      <c r="K154" s="381" t="s">
        <v>295</v>
      </c>
      <c r="L154" s="112"/>
      <c r="M154" s="112"/>
      <c r="N154" s="112"/>
      <c r="O154" s="112"/>
      <c r="P154" s="112"/>
      <c r="Q154" s="112"/>
      <c r="R154" s="112"/>
      <c r="S154" s="112"/>
      <c r="T154" s="112"/>
      <c r="U154" s="112"/>
      <c r="V154" s="112"/>
      <c r="W154" s="112"/>
      <c r="X154" s="112"/>
      <c r="Y154" s="147"/>
      <c r="Z154" s="279"/>
      <c r="AA154" s="289"/>
      <c r="AB154" s="286" t="s">
        <v>408</v>
      </c>
      <c r="AC154" s="285"/>
      <c r="AD154" s="285"/>
      <c r="AE154" s="285"/>
      <c r="AF154" s="285"/>
      <c r="AG154" s="285"/>
      <c r="AH154" s="285"/>
      <c r="AI154" s="285"/>
      <c r="AJ154" s="285"/>
      <c r="AK154" s="285"/>
    </row>
    <row r="155" spans="1:42">
      <c r="A155" s="222" t="str">
        <f>$A$81</f>
        <v>U/L Chord  (LT)</v>
      </c>
      <c r="B155" s="223" t="e">
        <f>$B$81</f>
        <v>#N/A</v>
      </c>
      <c r="C155" s="224" t="e">
        <f>$C$81</f>
        <v>#N/A</v>
      </c>
      <c r="D155" s="225" t="e">
        <f>$J$57</f>
        <v>#N/A</v>
      </c>
      <c r="E155" s="382" t="e">
        <f>IF(OR(D155="N/A",D155="Dead",E146="No"),"N/A",IF(AND($D$146="Compression",$F$146="Yes"),0.5*(H146*(I146+J146)*($B$137)*$A$141),H146*(I146+J146)*($B$137)*$A$141))</f>
        <v>#N/A</v>
      </c>
      <c r="F155" s="382" t="e">
        <f>IF(OR(D155="N/A",D155="Dead",E155="N/A"),"N/A",H146*(K146)*($B$137)*$A$141)</f>
        <v>#N/A</v>
      </c>
      <c r="G155" s="382" t="e">
        <f>IF(OR(D155="N/A",D155="Dead",E155="N/A"),"N/A",(H146*$B$137*$C$141))</f>
        <v>#N/A</v>
      </c>
      <c r="H155" s="382" t="e">
        <f>IF(OR(D155="N/A",E155="N/A"),"N/A",K81*(H146*$B$138*$B$141))</f>
        <v>#N/A</v>
      </c>
      <c r="I155" s="382" t="e">
        <f>IF(OR(D155="N/A",D155="Dead",E155="N/A"),"N/A",IF(AND($D$146="Compression",$F$146="Yes"),(0.5*ABS(D57)),(ABS(D57))))</f>
        <v>#N/A</v>
      </c>
      <c r="J155" s="382" t="e">
        <f>IF(OR(D155="N/A",E155="N/A"),"N/A",IF(AND(D57&lt;0,$D$146="Compression",$F$146="Yes"),0.5*ABS(E57),IF(AND(D57&lt;0,$D$146="Compression",$F$146="No"),ABS(E57),ABS(F57))))</f>
        <v>#N/A</v>
      </c>
      <c r="K155" s="382" t="e">
        <f>IF(H155="N/A","N/A",(MIN(E155:H155)-I155)/J155)</f>
        <v>#N/A</v>
      </c>
      <c r="L155" s="112"/>
      <c r="M155" s="112"/>
      <c r="N155" s="112"/>
      <c r="O155" s="112"/>
      <c r="P155" s="112"/>
      <c r="Q155" s="112"/>
      <c r="R155" s="112"/>
      <c r="S155" s="112"/>
      <c r="T155" s="112"/>
      <c r="U155" s="112"/>
      <c r="V155" s="112"/>
      <c r="W155" s="112"/>
      <c r="X155" s="112"/>
      <c r="Y155" s="147"/>
      <c r="Z155" s="279"/>
      <c r="AA155" s="289"/>
      <c r="AB155" s="286" t="e">
        <f>K155</f>
        <v>#N/A</v>
      </c>
      <c r="AC155" s="285"/>
      <c r="AD155" s="285"/>
      <c r="AE155" s="285"/>
      <c r="AF155" s="285"/>
      <c r="AG155" s="285"/>
      <c r="AH155" s="285"/>
      <c r="AI155" s="285"/>
      <c r="AJ155" s="285"/>
      <c r="AK155" s="285"/>
    </row>
    <row r="156" spans="1:42">
      <c r="A156" s="222" t="str">
        <f>$A$82</f>
        <v>U/L Chord  (RT)</v>
      </c>
      <c r="B156" s="223" t="e">
        <f>$B$82</f>
        <v>#N/A</v>
      </c>
      <c r="C156" s="224" t="e">
        <f>$C$82</f>
        <v>#N/A</v>
      </c>
      <c r="D156" s="225" t="e">
        <f>$J$58</f>
        <v>#N/A</v>
      </c>
      <c r="E156" s="382" t="e">
        <f>IF(OR(D156="N/A",D156="Dead",E147="No"),"N/A",IF(AND($D$146="Compression",$F$146="Yes"),0.5*(H147*(I147+J147)*($B$137)*$A$141),H147*(I147+J147)*($B$137)*$A$141))</f>
        <v>#N/A</v>
      </c>
      <c r="F156" s="382" t="e">
        <f>IF(OR(D156="N/A",D156="Dead",E156="N/A"),"N/A",H147*(K147)*($B$137)*$A$141)</f>
        <v>#N/A</v>
      </c>
      <c r="G156" s="382" t="e">
        <f>IF(OR(D156="N/A",D156="Dead",E156="N/A"),"N/A",(H147*$B$137*$C$141))</f>
        <v>#N/A</v>
      </c>
      <c r="H156" s="382" t="e">
        <f>IF(OR(D156="N/A",E156="N/A"),"N/A",K82*(H147*$B$138*$B$141))</f>
        <v>#N/A</v>
      </c>
      <c r="I156" s="382" t="e">
        <f>IF(OR(D156="N/A",D156="Dead",E156="N/A"),"N/A",IF(AND($D$147="Compression",$F$147="Yes"),(0.5*ABS(D58)),(ABS(D58))))</f>
        <v>#N/A</v>
      </c>
      <c r="J156" s="382" t="e">
        <f>IF(OR(D156="N/A",D156="Dead",E156="N/A"),"N/A",IF(AND(D58&lt;0,$D$147="Compression",$F$147="Yes"),0.5*ABS(E58),IF(AND(D58&lt;=0,$D$147="Compression",$F$147="No"),ABS(E58),ABS(F58))))</f>
        <v>#N/A</v>
      </c>
      <c r="K156" s="382" t="e">
        <f>IF(H156="N/A","N/A",(MIN(E156:H156)-I156)/J156)</f>
        <v>#N/A</v>
      </c>
      <c r="L156" s="112"/>
      <c r="M156" s="112"/>
      <c r="N156" s="112"/>
      <c r="O156" s="112"/>
      <c r="P156" s="112"/>
      <c r="Q156" s="112"/>
      <c r="R156" s="112"/>
      <c r="S156" s="112"/>
      <c r="T156" s="112"/>
      <c r="U156" s="112"/>
      <c r="V156" s="112"/>
      <c r="W156" s="112"/>
      <c r="X156" s="112"/>
      <c r="Y156" s="147"/>
      <c r="Z156" s="279"/>
      <c r="AA156" s="289"/>
      <c r="AB156" s="286" t="e">
        <f>K156</f>
        <v>#N/A</v>
      </c>
      <c r="AC156" s="285"/>
      <c r="AD156" s="285"/>
      <c r="AE156" s="285"/>
      <c r="AF156" s="285"/>
      <c r="AG156" s="285"/>
      <c r="AH156" s="285"/>
      <c r="AI156" s="285"/>
      <c r="AJ156" s="285"/>
      <c r="AK156" s="285"/>
    </row>
    <row r="157" spans="1:42">
      <c r="A157" s="222" t="str">
        <f>$A$83</f>
        <v>Diagonal (LT)</v>
      </c>
      <c r="B157" s="223" t="e">
        <f>$B$83</f>
        <v>#N/A</v>
      </c>
      <c r="C157" s="224" t="e">
        <f>$C$83</f>
        <v>#N/A</v>
      </c>
      <c r="D157" s="225" t="e">
        <f>$J$59</f>
        <v>#N/A</v>
      </c>
      <c r="E157" s="382" t="e">
        <f>IF(OR(D157="N/A",D157="Dead"),"N/A",H148*(I148+J148)*($B$137)*$A$141)</f>
        <v>#N/A</v>
      </c>
      <c r="F157" s="382" t="e">
        <f>IF(OR(D157="N/A",D157="Dead"),"N/A",H148*(K148)*($B$137)*$A$141)</f>
        <v>#N/A</v>
      </c>
      <c r="G157" s="382" t="e">
        <f>IF(OR(D157="N/A",D157="Dead",E157="N/A"),"N/A",IF(AND($D$146="Compression",$F$146="Yes"),0.5*(H148*$B$137*$C$141),(H148*$B$137*$C$141)))</f>
        <v>#N/A</v>
      </c>
      <c r="H157" s="382" t="e">
        <f>IF(OR(D157="N/A",E157="N/A"),"N/A",K83*(H148*$B$138*$B$141))</f>
        <v>#N/A</v>
      </c>
      <c r="I157" s="382" t="e">
        <f>IF(OR(D157="N/A",D157="Dead",E157="N/A"),"N/A",ABS(D59))</f>
        <v>#N/A</v>
      </c>
      <c r="J157" s="382" t="e">
        <f>IF(OR(D157="N/A",D157="Dead",E157="N/A"),"N/A",IF(D59&lt;0,ABS(E59),ABS(F59)))</f>
        <v>#N/A</v>
      </c>
      <c r="K157" s="382" t="e">
        <f>IF(H157="N/A","N/A",(MIN(E157:H157)-I157)/J157)</f>
        <v>#N/A</v>
      </c>
      <c r="L157" s="112"/>
      <c r="M157" s="112"/>
      <c r="N157" s="112"/>
      <c r="O157" s="112"/>
      <c r="P157" s="112"/>
      <c r="Q157" s="112"/>
      <c r="R157" s="112"/>
      <c r="S157" s="112"/>
      <c r="T157" s="112"/>
      <c r="U157" s="112"/>
      <c r="V157" s="112"/>
      <c r="W157" s="112"/>
      <c r="X157" s="112"/>
      <c r="Y157" s="147"/>
      <c r="Z157" s="279"/>
      <c r="AA157" s="289"/>
      <c r="AB157" s="286" t="e">
        <f>K157</f>
        <v>#N/A</v>
      </c>
      <c r="AC157" s="285"/>
      <c r="AD157" s="285"/>
      <c r="AE157" s="285"/>
      <c r="AF157" s="285"/>
      <c r="AG157" s="285"/>
      <c r="AH157" s="285"/>
      <c r="AI157" s="285"/>
      <c r="AJ157" s="285"/>
      <c r="AK157" s="285"/>
    </row>
    <row r="158" spans="1:42">
      <c r="A158" s="222" t="str">
        <f>$A$84</f>
        <v>Diagonal (RT)</v>
      </c>
      <c r="B158" s="223" t="e">
        <f>$B$84</f>
        <v>#N/A</v>
      </c>
      <c r="C158" s="224" t="e">
        <f>$C$84</f>
        <v>#N/A</v>
      </c>
      <c r="D158" s="225" t="e">
        <f>$J$60</f>
        <v>#N/A</v>
      </c>
      <c r="E158" s="382" t="e">
        <f>IF(OR(D158="N/A",D158="Dead"),"N/A",H149*(I149+J149)*($B$137)*$A$141)</f>
        <v>#N/A</v>
      </c>
      <c r="F158" s="382" t="e">
        <f>IF(OR(D158="N/A",D158="Dead"),"N/A",H149*(K149)*($B$137)*$A$141)</f>
        <v>#N/A</v>
      </c>
      <c r="G158" s="382" t="e">
        <f>IF(OR(D158="N/A",D158="Dead",E158="N/A"),"N/A",IF(AND($D$146="Compression",$F$146="Yes"),0.5*(H149*$B$137*$C$141),(H149*$B$137*$C$141)))</f>
        <v>#N/A</v>
      </c>
      <c r="H158" s="382" t="e">
        <f>IF(OR(D158="N/A",E158="N/A"),"N/A",K84*(H149*$B$138*$B$141))</f>
        <v>#N/A</v>
      </c>
      <c r="I158" s="382" t="e">
        <f>IF(OR(D158="N/A",D158="Dead",E158="N/A"),"N/A",ABS(D60))</f>
        <v>#N/A</v>
      </c>
      <c r="J158" s="382" t="e">
        <f>IF(OR(D158="N/A",D158="Dead",E158="N/A"),"N/A",IF(D60&lt;0,ABS(E60),ABS(F60)))</f>
        <v>#N/A</v>
      </c>
      <c r="K158" s="382" t="e">
        <f>IF(H158="N/A","N/A",(MIN(E158:H158)-I158)/J158)</f>
        <v>#N/A</v>
      </c>
      <c r="L158" s="112"/>
      <c r="M158" s="112"/>
      <c r="N158" s="112"/>
      <c r="O158" s="112"/>
      <c r="P158" s="112"/>
      <c r="Q158" s="112"/>
      <c r="R158" s="112"/>
      <c r="S158" s="112"/>
      <c r="T158" s="112"/>
      <c r="U158" s="112"/>
      <c r="V158" s="112"/>
      <c r="W158" s="112"/>
      <c r="X158" s="112"/>
      <c r="Y158" s="147"/>
      <c r="Z158" s="279"/>
      <c r="AA158" s="289"/>
      <c r="AB158" s="286" t="e">
        <f>K158</f>
        <v>#N/A</v>
      </c>
      <c r="AC158" s="285"/>
      <c r="AD158" s="285"/>
      <c r="AE158" s="285"/>
      <c r="AF158" s="285"/>
      <c r="AG158" s="285"/>
      <c r="AH158" s="285"/>
      <c r="AI158" s="285"/>
      <c r="AJ158" s="285"/>
      <c r="AK158" s="285"/>
    </row>
    <row r="159" spans="1:42">
      <c r="A159" s="222" t="str">
        <f>$A$85</f>
        <v>Vertical</v>
      </c>
      <c r="B159" s="223" t="e">
        <f>$B$85</f>
        <v>#N/A</v>
      </c>
      <c r="C159" s="224" t="e">
        <f>$C$85</f>
        <v>#N/A</v>
      </c>
      <c r="D159" s="225" t="e">
        <f>$J$61</f>
        <v>#N/A</v>
      </c>
      <c r="E159" s="382" t="e">
        <f>IF(OR(D159="N/A",D159="Dead"),"N/A",H150*(I150+J150)*($B$137)*$A$141)</f>
        <v>#N/A</v>
      </c>
      <c r="F159" s="382" t="e">
        <f>IF(OR(D159="N/A",D159="Dead"),"N/A",H150*(K150)*($B$137)*$A$141)</f>
        <v>#N/A</v>
      </c>
      <c r="G159" s="382" t="e">
        <f>IF(OR(D159="N/A",D159="Dead",E159="N/A"),"N/A",IF(AND($D$146="Compression",$F$146="Yes"),0.5*(H150*$B$137*$C$141),(H150*$B$137*$C$141)))</f>
        <v>#N/A</v>
      </c>
      <c r="H159" s="382" t="e">
        <f>IF(OR(D159="N/A",E159="N/A"),"N/A",K85*(H150*$B$138*$B$141))</f>
        <v>#N/A</v>
      </c>
      <c r="I159" s="382" t="e">
        <f>IF(OR(D159="N/A",D159="Dead",E159="N/A"),"N/A",ABS(D61))</f>
        <v>#N/A</v>
      </c>
      <c r="J159" s="382" t="e">
        <f>IF(OR(D159="N/A",D159="Dead",E159="N/A"),"N/A",IF(D61&lt;0,ABS(E61),ABS(F61)))</f>
        <v>#N/A</v>
      </c>
      <c r="K159" s="382" t="e">
        <f>IF(H159="N/A","N/A",(MIN(E159:H159)-I159)/J159)</f>
        <v>#N/A</v>
      </c>
      <c r="L159" s="112"/>
      <c r="M159" s="112"/>
      <c r="N159" s="112"/>
      <c r="O159" s="112"/>
      <c r="P159" s="112"/>
      <c r="Q159" s="112"/>
      <c r="R159" s="112"/>
      <c r="S159" s="112"/>
      <c r="T159" s="112"/>
      <c r="U159" s="112"/>
      <c r="V159" s="112"/>
      <c r="W159" s="112"/>
      <c r="X159" s="112"/>
      <c r="Y159" s="147"/>
      <c r="Z159" s="279"/>
      <c r="AA159" s="289"/>
      <c r="AB159" s="286" t="e">
        <f>K159</f>
        <v>#N/A</v>
      </c>
      <c r="AC159" s="285"/>
      <c r="AD159" s="285"/>
      <c r="AE159" s="285"/>
      <c r="AF159" s="285"/>
      <c r="AG159" s="285"/>
      <c r="AH159" s="285"/>
      <c r="AI159" s="285"/>
      <c r="AJ159" s="285"/>
      <c r="AK159" s="285"/>
    </row>
    <row r="160" spans="1:42">
      <c r="A160" s="112"/>
      <c r="B160" s="112"/>
      <c r="C160" s="112"/>
      <c r="D160" s="112"/>
      <c r="E160" s="112"/>
      <c r="F160" s="112"/>
      <c r="G160" s="100" t="s">
        <v>441</v>
      </c>
      <c r="H160" s="112"/>
      <c r="I160" s="112"/>
      <c r="J160" s="112"/>
      <c r="K160" s="112"/>
      <c r="L160" s="112"/>
      <c r="M160" s="112"/>
      <c r="N160" s="112"/>
      <c r="O160" s="112"/>
      <c r="P160" s="112"/>
      <c r="Q160" s="112"/>
      <c r="R160" s="112"/>
      <c r="S160" s="112"/>
      <c r="T160" s="112"/>
      <c r="U160" s="112"/>
      <c r="V160" s="112"/>
      <c r="W160" s="112"/>
      <c r="X160" s="112"/>
      <c r="Y160" s="147"/>
      <c r="Z160" s="279"/>
      <c r="AA160" s="289"/>
      <c r="AC160" s="285"/>
      <c r="AD160" s="285"/>
      <c r="AE160" s="285"/>
      <c r="AF160" s="285"/>
      <c r="AG160" s="285"/>
      <c r="AH160" s="285"/>
      <c r="AI160" s="285"/>
      <c r="AJ160" s="285"/>
      <c r="AK160" s="285"/>
    </row>
    <row r="161" spans="1:38">
      <c r="A161" s="112"/>
      <c r="B161" s="112"/>
      <c r="C161" s="112"/>
      <c r="D161" s="112"/>
      <c r="E161" s="112"/>
      <c r="F161" s="112"/>
      <c r="G161" s="100"/>
      <c r="H161" s="112"/>
      <c r="I161" s="112"/>
      <c r="J161" s="112"/>
      <c r="K161" s="112"/>
      <c r="L161" s="112"/>
      <c r="M161" s="112"/>
      <c r="N161" s="112"/>
      <c r="O161" s="112"/>
      <c r="P161" s="112"/>
      <c r="Q161" s="112"/>
      <c r="R161" s="112"/>
      <c r="S161" s="112"/>
      <c r="T161" s="112"/>
      <c r="U161" s="112"/>
      <c r="V161" s="112"/>
      <c r="W161" s="112"/>
      <c r="X161" s="112"/>
      <c r="Y161" s="147"/>
      <c r="Z161" s="279"/>
      <c r="AA161" s="289"/>
      <c r="AC161" s="285"/>
      <c r="AD161" s="285"/>
      <c r="AE161" s="285"/>
      <c r="AF161" s="285"/>
      <c r="AG161" s="285"/>
      <c r="AH161" s="285"/>
      <c r="AI161" s="285"/>
      <c r="AJ161" s="285"/>
      <c r="AK161" s="285"/>
    </row>
    <row r="162" spans="1:38">
      <c r="A162" s="112"/>
      <c r="B162" s="112"/>
      <c r="C162" s="112"/>
      <c r="D162" s="112"/>
      <c r="E162" s="112"/>
      <c r="F162" s="112"/>
      <c r="G162" s="100"/>
      <c r="H162" s="112"/>
      <c r="I162" s="112"/>
      <c r="J162" s="112"/>
      <c r="K162" s="112"/>
      <c r="L162" s="112"/>
      <c r="M162" s="112"/>
      <c r="N162" s="112"/>
      <c r="O162" s="112"/>
      <c r="P162" s="112"/>
      <c r="Q162" s="112"/>
      <c r="R162" s="112"/>
      <c r="S162" s="112"/>
      <c r="T162" s="112"/>
      <c r="U162" s="112"/>
      <c r="V162" s="112"/>
      <c r="W162" s="112"/>
      <c r="X162" s="112"/>
      <c r="Y162" s="147"/>
      <c r="Z162" s="279"/>
      <c r="AA162" s="289"/>
      <c r="AC162" s="285"/>
      <c r="AD162" s="285"/>
      <c r="AE162" s="285"/>
      <c r="AF162" s="285"/>
      <c r="AG162" s="285"/>
      <c r="AH162" s="285"/>
      <c r="AI162" s="285"/>
      <c r="AJ162" s="285"/>
      <c r="AK162" s="285"/>
    </row>
    <row r="163" spans="1:38">
      <c r="A163" s="112"/>
      <c r="B163" s="112"/>
      <c r="C163" s="112"/>
      <c r="D163" s="112"/>
      <c r="E163" s="112"/>
      <c r="F163" s="112"/>
      <c r="G163" s="112"/>
      <c r="H163" s="112"/>
      <c r="I163" s="112"/>
      <c r="J163" s="112"/>
      <c r="K163" s="112"/>
      <c r="L163" s="112"/>
      <c r="M163" s="112"/>
      <c r="N163" s="112"/>
      <c r="O163" s="112"/>
      <c r="P163" s="112"/>
      <c r="Q163" s="112"/>
      <c r="R163" s="112"/>
      <c r="S163" s="112"/>
      <c r="T163" s="112"/>
      <c r="U163" s="112"/>
      <c r="V163" s="112"/>
      <c r="W163" s="112"/>
      <c r="X163" s="112"/>
      <c r="Y163" s="147"/>
      <c r="Z163" s="279"/>
      <c r="AA163" s="289"/>
      <c r="AC163" s="285"/>
      <c r="AD163" s="285"/>
      <c r="AE163" s="285"/>
      <c r="AF163" s="285"/>
      <c r="AG163" s="285"/>
      <c r="AH163" s="285"/>
      <c r="AI163" s="285"/>
      <c r="AJ163" s="285"/>
      <c r="AK163" s="285"/>
    </row>
    <row r="164" spans="1:38">
      <c r="A164" s="112"/>
      <c r="B164" s="112"/>
      <c r="C164" s="112"/>
      <c r="D164" s="112"/>
      <c r="E164" s="112"/>
      <c r="F164" s="112"/>
      <c r="G164" s="112"/>
      <c r="H164" s="112"/>
      <c r="I164" s="112"/>
      <c r="J164" s="112"/>
      <c r="K164" s="112"/>
      <c r="L164" s="112"/>
      <c r="M164" s="112"/>
      <c r="N164" s="112"/>
      <c r="O164" s="112"/>
      <c r="P164" s="112"/>
      <c r="Q164" s="112"/>
      <c r="R164" s="112"/>
      <c r="S164" s="112"/>
      <c r="T164" s="112"/>
      <c r="U164" s="112"/>
      <c r="V164" s="112"/>
      <c r="W164" s="112"/>
      <c r="X164" s="112"/>
      <c r="Y164" s="147"/>
      <c r="Z164" s="279"/>
      <c r="AA164" s="289"/>
      <c r="AC164" s="285"/>
      <c r="AD164" s="285"/>
      <c r="AE164" s="285"/>
      <c r="AF164" s="285"/>
      <c r="AG164" s="285"/>
      <c r="AH164" s="285"/>
      <c r="AI164" s="285"/>
      <c r="AJ164" s="285"/>
      <c r="AK164" s="285"/>
    </row>
    <row r="165" spans="1:38">
      <c r="A165" s="112"/>
      <c r="B165" s="112"/>
      <c r="C165" s="112"/>
      <c r="D165" s="112"/>
      <c r="E165" s="112"/>
      <c r="F165" s="112"/>
      <c r="G165" s="112"/>
      <c r="H165" s="112"/>
      <c r="I165" s="112"/>
      <c r="J165" s="112"/>
      <c r="K165" s="112"/>
      <c r="L165" s="112"/>
      <c r="M165" s="112"/>
      <c r="N165" s="112"/>
      <c r="O165" s="112"/>
      <c r="P165" s="112"/>
      <c r="Q165" s="112"/>
      <c r="R165" s="112"/>
      <c r="S165" s="112"/>
      <c r="T165" s="112"/>
      <c r="U165" s="112"/>
      <c r="V165" s="112"/>
      <c r="W165" s="112"/>
      <c r="X165" s="112"/>
      <c r="Y165" s="147"/>
      <c r="Z165" s="279"/>
      <c r="AC165" s="285"/>
      <c r="AD165" s="285"/>
      <c r="AE165" s="285"/>
      <c r="AF165" s="285"/>
      <c r="AG165" s="285"/>
      <c r="AH165" s="285"/>
      <c r="AI165" s="285"/>
      <c r="AJ165" s="285"/>
      <c r="AK165" s="285"/>
    </row>
    <row r="166" spans="1:38">
      <c r="A166" s="93" t="s">
        <v>419</v>
      </c>
      <c r="B166" s="112"/>
      <c r="C166" s="112"/>
      <c r="D166" s="112"/>
      <c r="E166" s="112"/>
      <c r="F166" s="112"/>
      <c r="G166" s="112"/>
      <c r="H166" s="112"/>
      <c r="I166" s="112"/>
      <c r="J166" s="112"/>
      <c r="K166" s="112"/>
      <c r="L166" s="112"/>
      <c r="M166" s="112"/>
      <c r="N166" s="112"/>
      <c r="O166" s="112"/>
      <c r="P166" s="112"/>
      <c r="Q166" s="112"/>
      <c r="R166" s="112"/>
      <c r="S166" s="112"/>
      <c r="T166" s="112"/>
      <c r="U166" s="112"/>
      <c r="V166" s="112"/>
      <c r="W166" s="112"/>
      <c r="X166" s="112"/>
      <c r="Y166" s="147"/>
      <c r="Z166" s="279"/>
      <c r="AA166" s="288" t="e">
        <f>MIN(AB183:AB187)</f>
        <v>#N/A</v>
      </c>
      <c r="AB166" s="282" t="e">
        <f>MIN(AE174:AE178)</f>
        <v>#N/A</v>
      </c>
      <c r="AC166" s="283" t="e">
        <f>IF(SUM(AC174:AC178)=0,"OK","NG")</f>
        <v>#N/A</v>
      </c>
      <c r="AD166" s="284" t="str">
        <f>A166</f>
        <v>4: Gusset Plate Local Tension Yield and Fracture</v>
      </c>
      <c r="AE166" s="285"/>
      <c r="AF166" s="285"/>
      <c r="AG166" s="285"/>
      <c r="AH166" s="285"/>
      <c r="AI166" s="285"/>
      <c r="AJ166" s="285"/>
      <c r="AK166" s="285"/>
    </row>
    <row r="167" spans="1:38">
      <c r="A167" s="112"/>
      <c r="B167" s="112"/>
      <c r="C167" s="112"/>
      <c r="D167" s="112"/>
      <c r="E167" s="112"/>
      <c r="F167" s="112"/>
      <c r="G167" s="112"/>
      <c r="H167" s="112"/>
      <c r="I167" s="112"/>
      <c r="J167" s="112"/>
      <c r="K167" s="112"/>
      <c r="L167" s="112"/>
      <c r="M167" s="112"/>
      <c r="N167" s="112"/>
      <c r="O167" s="112"/>
      <c r="P167" s="112"/>
      <c r="Q167" s="112"/>
      <c r="R167" s="112"/>
      <c r="S167" s="112"/>
      <c r="T167" s="112"/>
      <c r="U167" s="112"/>
      <c r="V167" s="112"/>
      <c r="W167" s="112"/>
      <c r="X167" s="112"/>
      <c r="Y167" s="147"/>
      <c r="Z167" s="279"/>
      <c r="AC167" s="285"/>
      <c r="AD167" s="285"/>
      <c r="AE167" s="285"/>
      <c r="AF167" s="285"/>
      <c r="AG167" s="285"/>
      <c r="AH167" s="285"/>
      <c r="AI167" s="285"/>
      <c r="AJ167" s="285"/>
      <c r="AK167" s="285"/>
    </row>
    <row r="168" spans="1:38">
      <c r="A168" s="112" t="s">
        <v>113</v>
      </c>
      <c r="B168" s="44">
        <f>$A$35/1000</f>
        <v>0</v>
      </c>
      <c r="C168" s="100" t="s">
        <v>195</v>
      </c>
      <c r="D168" s="112"/>
      <c r="E168" s="112"/>
      <c r="F168" s="112"/>
      <c r="G168" s="112"/>
      <c r="H168" s="112"/>
      <c r="I168" s="112"/>
      <c r="J168" s="112"/>
      <c r="K168" s="112"/>
      <c r="L168" s="112"/>
      <c r="M168" s="112"/>
      <c r="N168" s="112"/>
      <c r="O168" s="112"/>
      <c r="P168" s="112"/>
      <c r="Q168" s="112"/>
      <c r="R168" s="112"/>
      <c r="S168" s="112"/>
      <c r="T168" s="112"/>
      <c r="U168" s="112"/>
      <c r="V168" s="112"/>
      <c r="W168" s="112"/>
      <c r="X168" s="112"/>
      <c r="Y168" s="147"/>
      <c r="Z168" s="279"/>
      <c r="AC168" s="285"/>
      <c r="AD168" s="285"/>
      <c r="AE168" s="285"/>
      <c r="AF168" s="285"/>
      <c r="AG168" s="285"/>
      <c r="AH168" s="285"/>
      <c r="AI168" s="285"/>
      <c r="AJ168" s="285"/>
      <c r="AK168" s="285"/>
    </row>
    <row r="169" spans="1:38">
      <c r="A169" s="112" t="s">
        <v>114</v>
      </c>
      <c r="B169" s="44">
        <f>$B$35/1000</f>
        <v>0</v>
      </c>
      <c r="C169" s="100" t="s">
        <v>194</v>
      </c>
      <c r="D169" s="112"/>
      <c r="E169" s="112"/>
      <c r="F169" s="112"/>
      <c r="G169" s="112"/>
      <c r="H169" s="112"/>
      <c r="I169" s="112"/>
      <c r="J169" s="112"/>
      <c r="K169" s="112"/>
      <c r="L169" s="112"/>
      <c r="M169" s="112"/>
      <c r="N169" s="112"/>
      <c r="O169" s="112"/>
      <c r="P169" s="112"/>
      <c r="Q169" s="112"/>
      <c r="R169" s="112"/>
      <c r="S169" s="112"/>
      <c r="T169" s="112"/>
      <c r="U169" s="112"/>
      <c r="V169" s="112"/>
      <c r="W169" s="112"/>
      <c r="X169" s="112"/>
      <c r="Y169" s="147"/>
      <c r="Z169" s="279"/>
      <c r="AC169" s="285"/>
      <c r="AD169" s="285"/>
      <c r="AE169" s="285"/>
      <c r="AF169" s="285"/>
      <c r="AG169" s="285"/>
      <c r="AH169" s="285"/>
      <c r="AI169" s="285"/>
      <c r="AJ169" s="285"/>
      <c r="AK169" s="285"/>
    </row>
    <row r="170" spans="1:38">
      <c r="A170" s="112" t="s">
        <v>115</v>
      </c>
      <c r="B170" s="44">
        <f>$E$35/1000</f>
        <v>0</v>
      </c>
      <c r="C170" s="100" t="s">
        <v>195</v>
      </c>
      <c r="D170" s="112"/>
      <c r="E170" s="112"/>
      <c r="F170" s="112"/>
      <c r="G170" s="112"/>
      <c r="H170" s="112"/>
      <c r="I170" s="112"/>
      <c r="J170" s="112"/>
      <c r="K170" s="112"/>
      <c r="L170" s="112"/>
      <c r="M170" s="112"/>
      <c r="N170" s="112"/>
      <c r="O170" s="112"/>
      <c r="P170" s="112"/>
      <c r="Q170" s="112"/>
      <c r="R170" s="112"/>
      <c r="S170" s="112"/>
      <c r="T170" s="112"/>
      <c r="U170" s="112"/>
      <c r="V170" s="112"/>
      <c r="W170" s="112"/>
      <c r="X170" s="112"/>
      <c r="Y170" s="147"/>
      <c r="Z170" s="279"/>
      <c r="AC170" s="285"/>
      <c r="AD170" s="285"/>
      <c r="AE170" s="285"/>
      <c r="AF170" s="285"/>
      <c r="AG170" s="285"/>
      <c r="AH170" s="285"/>
      <c r="AI170" s="285"/>
      <c r="AJ170" s="285"/>
      <c r="AK170" s="285"/>
    </row>
    <row r="171" spans="1:38">
      <c r="A171" s="101" t="s">
        <v>329</v>
      </c>
      <c r="B171" s="44">
        <f>D23</f>
        <v>0.15</v>
      </c>
      <c r="C171" s="112"/>
      <c r="D171" s="112"/>
      <c r="E171" s="112"/>
      <c r="F171" s="112"/>
      <c r="G171" s="112"/>
      <c r="H171" s="112"/>
      <c r="I171" s="112"/>
      <c r="J171" s="112"/>
      <c r="K171" s="112"/>
      <c r="L171" s="112"/>
      <c r="M171" s="112"/>
      <c r="N171" s="112"/>
      <c r="O171" s="112"/>
      <c r="P171" s="112"/>
      <c r="Q171" s="112"/>
      <c r="R171" s="112"/>
      <c r="S171" s="112"/>
      <c r="T171" s="112"/>
      <c r="U171" s="112"/>
      <c r="V171" s="112"/>
      <c r="W171" s="112"/>
      <c r="X171" s="112"/>
      <c r="Y171" s="147"/>
      <c r="Z171" s="279"/>
      <c r="AC171" s="285"/>
      <c r="AD171" s="285"/>
      <c r="AE171" s="285"/>
      <c r="AF171" s="285"/>
      <c r="AG171" s="285"/>
      <c r="AH171" s="285"/>
      <c r="AI171" s="285"/>
      <c r="AJ171" s="285"/>
      <c r="AK171" s="285"/>
    </row>
    <row r="172" spans="1:38">
      <c r="A172" s="112"/>
      <c r="B172" s="44"/>
      <c r="C172" s="112"/>
      <c r="D172" s="112"/>
      <c r="E172" s="112"/>
      <c r="F172" s="112"/>
      <c r="G172" s="112"/>
      <c r="H172" s="112"/>
      <c r="I172" s="112"/>
      <c r="J172" s="112"/>
      <c r="K172" s="112"/>
      <c r="L172" s="112"/>
      <c r="M172" s="112"/>
      <c r="N172" s="112"/>
      <c r="O172" s="112"/>
      <c r="P172" s="112"/>
      <c r="Q172" s="112"/>
      <c r="R172" s="112"/>
      <c r="S172" s="112"/>
      <c r="T172" s="112"/>
      <c r="U172" s="112"/>
      <c r="V172" s="112"/>
      <c r="W172" s="112"/>
      <c r="X172" s="112"/>
      <c r="Y172" s="147"/>
      <c r="Z172" s="279"/>
      <c r="AC172" s="285"/>
      <c r="AD172" s="285"/>
      <c r="AE172" s="285"/>
      <c r="AF172" s="285"/>
      <c r="AG172" s="285"/>
      <c r="AH172" s="285"/>
      <c r="AI172" s="285"/>
      <c r="AJ172" s="285"/>
      <c r="AK172" s="285"/>
    </row>
    <row r="173" spans="1:38" ht="66.75" customHeight="1">
      <c r="A173" s="5" t="s">
        <v>23</v>
      </c>
      <c r="B173" s="5" t="s">
        <v>25</v>
      </c>
      <c r="C173" s="48" t="s">
        <v>4</v>
      </c>
      <c r="D173" s="5" t="s">
        <v>64</v>
      </c>
      <c r="E173" s="80" t="s">
        <v>179</v>
      </c>
      <c r="F173" s="80" t="s">
        <v>180</v>
      </c>
      <c r="G173" s="2" t="s">
        <v>288</v>
      </c>
      <c r="H173" s="5" t="s">
        <v>78</v>
      </c>
      <c r="I173" s="5" t="s">
        <v>289</v>
      </c>
      <c r="J173" s="5" t="s">
        <v>290</v>
      </c>
      <c r="K173" s="5" t="s">
        <v>291</v>
      </c>
      <c r="L173" s="88" t="s">
        <v>192</v>
      </c>
      <c r="M173" s="88" t="s">
        <v>193</v>
      </c>
      <c r="N173" s="88" t="s">
        <v>282</v>
      </c>
      <c r="O173" s="88" t="s">
        <v>107</v>
      </c>
      <c r="P173" s="49" t="s">
        <v>173</v>
      </c>
      <c r="Q173" s="112"/>
      <c r="R173" s="112"/>
      <c r="S173" s="112"/>
      <c r="T173" s="112"/>
      <c r="U173" s="112"/>
      <c r="V173" s="112"/>
      <c r="W173" s="112"/>
      <c r="X173" s="112"/>
      <c r="Y173" s="147"/>
      <c r="Z173" s="279"/>
      <c r="AC173" s="285"/>
      <c r="AD173" s="285"/>
      <c r="AE173" s="285"/>
      <c r="AF173" s="285"/>
      <c r="AG173" s="285"/>
      <c r="AH173" s="285"/>
      <c r="AI173" s="285"/>
      <c r="AJ173" s="285"/>
      <c r="AK173" s="285"/>
    </row>
    <row r="174" spans="1:38">
      <c r="A174" s="151" t="str">
        <f>$A$81</f>
        <v>U/L Chord  (LT)</v>
      </c>
      <c r="B174" s="114" t="e">
        <f>$B$81</f>
        <v>#N/A</v>
      </c>
      <c r="C174" s="17" t="e">
        <f>$C$81</f>
        <v>#N/A</v>
      </c>
      <c r="D174" s="23" t="e">
        <f>$J$57</f>
        <v>#N/A</v>
      </c>
      <c r="E174" s="81" t="e">
        <f>$K$57</f>
        <v>#N/A</v>
      </c>
      <c r="F174" s="81" t="e">
        <f>$L$57</f>
        <v>#N/A</v>
      </c>
      <c r="G174" s="268" t="e">
        <f>IF(OR(D174="Compression",D174="Dead",D174="N/A"),"N/A",IF(C146="N/A","N/A",IF(OR(E146="No",F146="Yes"),"N/A",ABS(MAX(G57:H57)))))</f>
        <v>#N/A</v>
      </c>
      <c r="H174" s="3" t="e">
        <f>IF(G174="N/A","N/A",I146*L81)</f>
        <v>#N/A</v>
      </c>
      <c r="I174" s="3" t="e">
        <f>IF(G174="N/A","N/A",J146*L81)</f>
        <v>#N/A</v>
      </c>
      <c r="J174" s="3" t="e">
        <f>IF($G$174="N/A","N/A",$I$146*(LOOKUP($C$41,'Info Tables'!$A$403:$A$442,'Info Tables'!$C$403:$C$442)))</f>
        <v>#N/A</v>
      </c>
      <c r="K174" s="3" t="e">
        <f>IF($G$174="N/A","N/A",$J$146*(LOOKUP($C$41,'Info Tables'!$A$403:$A$442,'Info Tables'!$C$403:$C$442)))</f>
        <v>#N/A</v>
      </c>
      <c r="L174" s="64" t="e">
        <f t="shared" ref="L174:M178" si="3">IF(H174="N/A","N/A",IF(J174+(H174*$B$171)&gt;H174,H174,J174+(H174*$B$171)))</f>
        <v>#N/A</v>
      </c>
      <c r="M174" s="64" t="e">
        <f t="shared" si="3"/>
        <v>#N/A</v>
      </c>
      <c r="N174" s="64" t="e">
        <f>IF($G$174="N/A","N/A",MAX($G$174/$L$174,$G$174/$M$174)/2)</f>
        <v>#N/A</v>
      </c>
      <c r="O174" s="29" t="e">
        <f>IF(OR(G174="N/A",G174=0),"N/A",IF($B$168&gt;=N174,"OK","NG"))</f>
        <v>#N/A</v>
      </c>
      <c r="P174" s="61" t="e">
        <f>IF(OR(G174="N/A",G174=0),"N/A",($B$168/N174))</f>
        <v>#N/A</v>
      </c>
      <c r="Q174" s="112"/>
      <c r="R174" s="112"/>
      <c r="S174" s="112"/>
      <c r="T174" s="112"/>
      <c r="U174" s="112"/>
      <c r="V174" s="112"/>
      <c r="W174" s="112"/>
      <c r="X174" s="112"/>
      <c r="Y174" s="147"/>
      <c r="Z174" s="279"/>
      <c r="AC174" s="285" t="e">
        <f>IF(OR(AD174="NG",AE174="NG",AF174="NG",AG174="NG",AH174="NG"),1,0)</f>
        <v>#N/A</v>
      </c>
      <c r="AD174" s="286" t="e">
        <f t="shared" ref="AD174:AE178" si="4">O174</f>
        <v>#N/A</v>
      </c>
      <c r="AE174" s="287" t="e">
        <f t="shared" si="4"/>
        <v>#N/A</v>
      </c>
      <c r="AF174" s="286"/>
      <c r="AG174" s="286"/>
      <c r="AH174" s="287"/>
      <c r="AI174" s="287"/>
      <c r="AJ174" s="287"/>
      <c r="AK174" s="287"/>
      <c r="AL174" s="282"/>
    </row>
    <row r="175" spans="1:38">
      <c r="A175" s="151" t="str">
        <f>$A$82</f>
        <v>U/L Chord  (RT)</v>
      </c>
      <c r="B175" s="114" t="e">
        <f>$B$82</f>
        <v>#N/A</v>
      </c>
      <c r="C175" s="17" t="e">
        <f>$C$82</f>
        <v>#N/A</v>
      </c>
      <c r="D175" s="23" t="e">
        <f>$J$58</f>
        <v>#N/A</v>
      </c>
      <c r="E175" s="81" t="e">
        <f>$K$58</f>
        <v>#N/A</v>
      </c>
      <c r="F175" s="81" t="e">
        <f>$L$58</f>
        <v>#N/A</v>
      </c>
      <c r="G175" s="268" t="e">
        <f>IF(OR(D175="Compression",D175="Dead",D175="N/A"),"N/A",IF(C147="N/A","N/A",IF(OR(E147="No",F147="Yes"),"N/A",ABS(MAX(G58:H58)))))</f>
        <v>#N/A</v>
      </c>
      <c r="H175" s="3" t="e">
        <f>IF(G175="N/A","N/A",I147*L82)</f>
        <v>#N/A</v>
      </c>
      <c r="I175" s="3" t="e">
        <f>IF(G175="N/A","N/A",J147*L82)</f>
        <v>#N/A</v>
      </c>
      <c r="J175" s="3" t="e">
        <f>IF($G$175="N/A","N/A",$I$147*(LOOKUP($C$41,'Info Tables'!$A$403:$A$442,'Info Tables'!$D$403:$D$442)))</f>
        <v>#N/A</v>
      </c>
      <c r="K175" s="3" t="e">
        <f>IF($G$175="N/A","N/A",$J$147*(LOOKUP($C$41,'Info Tables'!$A$403:$A$442,'Info Tables'!$D$403:$D$442)))</f>
        <v>#N/A</v>
      </c>
      <c r="L175" s="64" t="e">
        <f t="shared" si="3"/>
        <v>#N/A</v>
      </c>
      <c r="M175" s="64" t="e">
        <f t="shared" si="3"/>
        <v>#N/A</v>
      </c>
      <c r="N175" s="64" t="e">
        <f>IF($G$175="N/A","N/A",0.99*MAX($G$175/$L$175,$G$175/$M$175)/2)</f>
        <v>#N/A</v>
      </c>
      <c r="O175" s="29" t="e">
        <f>IF(OR(G175="N/A",G175=0),"N/A",IF($B$168&gt;=N175,"OK","NG"))</f>
        <v>#N/A</v>
      </c>
      <c r="P175" s="61" t="e">
        <f>IF(OR(G175="N/A",G175=0),"N/A",($B$168/N175))</f>
        <v>#N/A</v>
      </c>
      <c r="Q175" s="112"/>
      <c r="R175" s="112"/>
      <c r="S175" s="112"/>
      <c r="T175" s="112"/>
      <c r="U175" s="112"/>
      <c r="V175" s="112"/>
      <c r="W175" s="112"/>
      <c r="X175" s="112"/>
      <c r="Y175" s="147"/>
      <c r="Z175" s="279"/>
      <c r="AC175" s="285" t="e">
        <f>IF(OR(AD175="NG",AE175="NG",AF175="NG",AG175="NG",AH175="NG"),1,0)</f>
        <v>#N/A</v>
      </c>
      <c r="AD175" s="286" t="e">
        <f t="shared" si="4"/>
        <v>#N/A</v>
      </c>
      <c r="AE175" s="287" t="e">
        <f t="shared" si="4"/>
        <v>#N/A</v>
      </c>
      <c r="AF175" s="286"/>
      <c r="AG175" s="286"/>
      <c r="AH175" s="287"/>
      <c r="AI175" s="287"/>
      <c r="AJ175" s="287"/>
      <c r="AK175" s="287"/>
      <c r="AL175" s="282"/>
    </row>
    <row r="176" spans="1:38">
      <c r="A176" s="151" t="str">
        <f>$A$83</f>
        <v>Diagonal (LT)</v>
      </c>
      <c r="B176" s="114" t="e">
        <f>$B$83</f>
        <v>#N/A</v>
      </c>
      <c r="C176" s="17" t="e">
        <f>$C$83</f>
        <v>#N/A</v>
      </c>
      <c r="D176" s="23" t="e">
        <f>$J$59</f>
        <v>#N/A</v>
      </c>
      <c r="E176" s="81" t="e">
        <f>$K$59</f>
        <v>#N/A</v>
      </c>
      <c r="F176" s="81" t="e">
        <f>$L$59</f>
        <v>#N/A</v>
      </c>
      <c r="G176" s="268" t="e">
        <f>IF(OR(D176="Compression",D176="Dead",D176="N/A"),"N/A",IF(C148="N/A","N/A",IF(OR(E148="No",F148="Yes"),"N/A",ABS(MAX(G59:H59)))))</f>
        <v>#N/A</v>
      </c>
      <c r="H176" s="3" t="e">
        <f>IF(G176="N/A","N/A",I148*L83)</f>
        <v>#N/A</v>
      </c>
      <c r="I176" s="3" t="e">
        <f>IF(G176="N/A","N/A",J148*L83)</f>
        <v>#N/A</v>
      </c>
      <c r="J176" s="3" t="e">
        <f>IF($G$176="N/A","N/A",$I$148*(LOOKUP($C$41,'Info Tables'!$A$403:$A$442,'Info Tables'!$E$403:$E$442)))</f>
        <v>#N/A</v>
      </c>
      <c r="K176" s="3" t="e">
        <f>IF($G$176="N/A","N/A",$J$148*(LOOKUP($C$41,'Info Tables'!$A$403:$A$442,'Info Tables'!$E$403:$E$442)))</f>
        <v>#N/A</v>
      </c>
      <c r="L176" s="64" t="e">
        <f t="shared" si="3"/>
        <v>#N/A</v>
      </c>
      <c r="M176" s="64" t="e">
        <f t="shared" si="3"/>
        <v>#N/A</v>
      </c>
      <c r="N176" s="64" t="e">
        <f>IF($G$176="N/A","N/A",MAX($G$176/$L$176,$G$176/$M$176)/2)</f>
        <v>#N/A</v>
      </c>
      <c r="O176" s="29" t="e">
        <f>IF(OR(G176="N/A",G176=0),"N/A",IF($B$168&gt;=N176,"OK","NG"))</f>
        <v>#N/A</v>
      </c>
      <c r="P176" s="61" t="e">
        <f>IF(OR(G176="N/A",G176=0),"N/A",($B$168/N176))</f>
        <v>#N/A</v>
      </c>
      <c r="Q176" s="112"/>
      <c r="R176" s="112"/>
      <c r="S176" s="112"/>
      <c r="T176" s="112"/>
      <c r="U176" s="112"/>
      <c r="V176" s="112"/>
      <c r="W176" s="112"/>
      <c r="X176" s="112"/>
      <c r="Y176" s="147"/>
      <c r="Z176" s="279"/>
      <c r="AC176" s="285" t="e">
        <f>IF(OR(AD176="NG",AE176="NG",AF176="NG",AG176="NG",AH176="NG"),1,0)</f>
        <v>#N/A</v>
      </c>
      <c r="AD176" s="286" t="e">
        <f t="shared" si="4"/>
        <v>#N/A</v>
      </c>
      <c r="AE176" s="287" t="e">
        <f t="shared" si="4"/>
        <v>#N/A</v>
      </c>
      <c r="AF176" s="286"/>
      <c r="AG176" s="286"/>
      <c r="AH176" s="287"/>
      <c r="AI176" s="287"/>
      <c r="AJ176" s="287"/>
      <c r="AK176" s="287"/>
      <c r="AL176" s="282"/>
    </row>
    <row r="177" spans="1:38">
      <c r="A177" s="151" t="str">
        <f>$A$84</f>
        <v>Diagonal (RT)</v>
      </c>
      <c r="B177" s="114" t="e">
        <f>$B$84</f>
        <v>#N/A</v>
      </c>
      <c r="C177" s="17" t="e">
        <f>$C$84</f>
        <v>#N/A</v>
      </c>
      <c r="D177" s="23" t="e">
        <f>$J$60</f>
        <v>#N/A</v>
      </c>
      <c r="E177" s="81" t="e">
        <f>$K$60</f>
        <v>#N/A</v>
      </c>
      <c r="F177" s="81" t="e">
        <f>$L$60</f>
        <v>#N/A</v>
      </c>
      <c r="G177" s="268" t="e">
        <f>IF(OR(D177="Compression",D177="Dead",D177="N/A"),"N/A",IF(C149="N/A","N/A",IF(OR(E149="No",F149="Yes"),"N/A",ABS(MAX(G60:H60)))))</f>
        <v>#N/A</v>
      </c>
      <c r="H177" s="3" t="e">
        <f>IF(G177="N/A","N/A",I149*L84)</f>
        <v>#N/A</v>
      </c>
      <c r="I177" s="3" t="e">
        <f>IF(G177="N/A","N/A",J149*L84)</f>
        <v>#N/A</v>
      </c>
      <c r="J177" s="63" t="e">
        <f>IF($G$177="N/A","N/A",$I$149*(LOOKUP($C$41,'Info Tables'!$A$403:$A$442,'Info Tables'!$F$403:$F$442)))</f>
        <v>#N/A</v>
      </c>
      <c r="K177" s="63" t="e">
        <f>IF($G$177="N/A","N/A",$J$149*(LOOKUP($C$41,'Info Tables'!$A$403:$A$442,'Info Tables'!$F$403:$F$442)))</f>
        <v>#N/A</v>
      </c>
      <c r="L177" s="64" t="e">
        <f t="shared" si="3"/>
        <v>#N/A</v>
      </c>
      <c r="M177" s="64" t="e">
        <f t="shared" si="3"/>
        <v>#N/A</v>
      </c>
      <c r="N177" s="64" t="e">
        <f>IF($G$177="N/A","N/A",MAX($G$177/$L$177,$G$177/$M$177)/2)</f>
        <v>#N/A</v>
      </c>
      <c r="O177" s="29" t="e">
        <f>IF(OR(G177="N/A",G177=0),"N/A",IF($B$168&gt;=N177,"OK","NG"))</f>
        <v>#N/A</v>
      </c>
      <c r="P177" s="61" t="e">
        <f>IF(OR(G177="N/A",G177=0),"N/A",($B$168/N177))</f>
        <v>#N/A</v>
      </c>
      <c r="Q177" s="112"/>
      <c r="R177" s="112"/>
      <c r="S177" s="112"/>
      <c r="T177" s="112"/>
      <c r="U177" s="112"/>
      <c r="V177" s="112"/>
      <c r="W177" s="112"/>
      <c r="X177" s="112"/>
      <c r="Y177" s="147"/>
      <c r="Z177" s="279"/>
      <c r="AC177" s="285" t="e">
        <f>IF(OR(AD177="NG",AE177="NG",AF177="NG",AG177="NG",AH177="NG"),1,0)</f>
        <v>#N/A</v>
      </c>
      <c r="AD177" s="286" t="e">
        <f t="shared" si="4"/>
        <v>#N/A</v>
      </c>
      <c r="AE177" s="287" t="e">
        <f t="shared" si="4"/>
        <v>#N/A</v>
      </c>
      <c r="AF177" s="286"/>
      <c r="AG177" s="286"/>
      <c r="AH177" s="287"/>
      <c r="AI177" s="287"/>
      <c r="AJ177" s="287"/>
      <c r="AK177" s="287"/>
      <c r="AL177" s="282"/>
    </row>
    <row r="178" spans="1:38">
      <c r="A178" s="151" t="str">
        <f>$A$85</f>
        <v>Vertical</v>
      </c>
      <c r="B178" s="114" t="e">
        <f>$B$85</f>
        <v>#N/A</v>
      </c>
      <c r="C178" s="17" t="e">
        <f>$C$85</f>
        <v>#N/A</v>
      </c>
      <c r="D178" s="23" t="e">
        <f>$J$61</f>
        <v>#N/A</v>
      </c>
      <c r="E178" s="81" t="e">
        <f>$K$61</f>
        <v>#N/A</v>
      </c>
      <c r="F178" s="81" t="e">
        <f>$L$61</f>
        <v>#N/A</v>
      </c>
      <c r="G178" s="268" t="e">
        <f>IF(OR(D178="Compression",D178="Dead",D178="N/A"),"N/A",IF(C150="N/A","N/A",IF(OR(E150="No",F150="Yes"),"N/A",ABS(MAX(G61:H61)))))</f>
        <v>#N/A</v>
      </c>
      <c r="H178" s="3" t="e">
        <f>IF(G178="N/A","N/A",I150*L85)</f>
        <v>#N/A</v>
      </c>
      <c r="I178" s="3" t="e">
        <f>IF(G178="N/A","N/A",J150*L85)</f>
        <v>#N/A</v>
      </c>
      <c r="J178" s="3" t="e">
        <f>IF($G$178="N/A","N/A",$I$150*(LOOKUP($C$41,'Info Tables'!$A$403:$A$442,'Info Tables'!$G$403:$G$442)))</f>
        <v>#N/A</v>
      </c>
      <c r="K178" s="3" t="e">
        <f>IF($G$178="N/A","N/A",$J$150*(LOOKUP($C$41,'Info Tables'!$A$403:$A$442,'Info Tables'!$G$403:$G$442)))</f>
        <v>#N/A</v>
      </c>
      <c r="L178" s="64" t="e">
        <f t="shared" si="3"/>
        <v>#N/A</v>
      </c>
      <c r="M178" s="64" t="e">
        <f t="shared" si="3"/>
        <v>#N/A</v>
      </c>
      <c r="N178" s="64" t="e">
        <f>IF($G$178="N/A","N/A",MAX($G$178/$L$178,$G$178/$M$178)/2)</f>
        <v>#N/A</v>
      </c>
      <c r="O178" s="29" t="e">
        <f>IF(OR(G178="N/A",G178=0),"N/A",IF($B$168&gt;=N178,"OK","NG"))</f>
        <v>#N/A</v>
      </c>
      <c r="P178" s="61" t="e">
        <f>IF(OR(G178="N/A",G178=0),"N/A",($B$168/N178))</f>
        <v>#N/A</v>
      </c>
      <c r="Q178" s="112"/>
      <c r="R178" s="112"/>
      <c r="S178" s="112"/>
      <c r="T178" s="112"/>
      <c r="U178" s="112"/>
      <c r="V178" s="112"/>
      <c r="W178" s="112"/>
      <c r="X178" s="112"/>
      <c r="Y178" s="147"/>
      <c r="Z178" s="279"/>
      <c r="AC178" s="285" t="e">
        <f>IF(OR(AD178="NG",AE178="NG",AF178="NG",AG178="NG",AH178="NG"),1,0)</f>
        <v>#N/A</v>
      </c>
      <c r="AD178" s="286" t="e">
        <f t="shared" si="4"/>
        <v>#N/A</v>
      </c>
      <c r="AE178" s="287" t="e">
        <f t="shared" si="4"/>
        <v>#N/A</v>
      </c>
      <c r="AF178" s="286"/>
      <c r="AG178" s="286"/>
      <c r="AH178" s="287"/>
      <c r="AI178" s="287"/>
      <c r="AJ178" s="287"/>
      <c r="AK178" s="287"/>
      <c r="AL178" s="282"/>
    </row>
    <row r="179" spans="1:38">
      <c r="A179" s="112"/>
      <c r="B179" s="112"/>
      <c r="C179" s="112"/>
      <c r="D179" s="112"/>
      <c r="E179" s="112"/>
      <c r="F179" s="112"/>
      <c r="G179" s="100"/>
      <c r="H179" s="112"/>
      <c r="I179" s="112"/>
      <c r="J179" s="112"/>
      <c r="K179" s="112"/>
      <c r="L179" s="112"/>
      <c r="M179" s="112"/>
      <c r="N179" s="112"/>
      <c r="O179" s="112"/>
      <c r="P179" s="112"/>
      <c r="Q179" s="112"/>
      <c r="R179" s="112"/>
      <c r="S179" s="112"/>
      <c r="T179" s="112"/>
      <c r="U179" s="112"/>
      <c r="V179" s="112"/>
      <c r="W179" s="112"/>
      <c r="X179" s="112"/>
      <c r="Y179" s="147"/>
      <c r="Z179" s="279"/>
      <c r="AC179" s="285"/>
      <c r="AD179" s="286"/>
      <c r="AE179" s="285"/>
      <c r="AF179" s="285"/>
      <c r="AG179" s="285"/>
      <c r="AH179" s="285"/>
      <c r="AI179" s="285"/>
      <c r="AJ179" s="285"/>
      <c r="AK179" s="285"/>
    </row>
    <row r="180" spans="1:38">
      <c r="A180" s="112"/>
      <c r="B180" s="112"/>
      <c r="C180" s="112"/>
      <c r="D180" s="112"/>
      <c r="E180" s="112"/>
      <c r="F180" s="112"/>
      <c r="G180" s="100"/>
      <c r="H180" s="112"/>
      <c r="I180" s="112"/>
      <c r="J180" s="112"/>
      <c r="K180" s="112"/>
      <c r="L180" s="112"/>
      <c r="M180" s="112"/>
      <c r="N180" s="112"/>
      <c r="O180" s="112"/>
      <c r="P180" s="112"/>
      <c r="Q180" s="112"/>
      <c r="R180" s="112"/>
      <c r="S180" s="112"/>
      <c r="T180" s="112"/>
      <c r="U180" s="112"/>
      <c r="V180" s="112"/>
      <c r="W180" s="112"/>
      <c r="X180" s="112"/>
      <c r="Y180" s="147"/>
      <c r="Z180" s="279"/>
      <c r="AC180" s="285"/>
      <c r="AD180" s="286"/>
      <c r="AE180" s="285"/>
      <c r="AF180" s="285"/>
      <c r="AG180" s="285"/>
      <c r="AH180" s="285"/>
      <c r="AI180" s="285"/>
      <c r="AJ180" s="285"/>
      <c r="AK180" s="285"/>
    </row>
    <row r="181" spans="1:38">
      <c r="A181" s="95" t="s">
        <v>420</v>
      </c>
      <c r="B181" s="112"/>
      <c r="C181" s="112"/>
      <c r="D181" s="112"/>
      <c r="E181" s="112"/>
      <c r="F181" s="112"/>
      <c r="G181" s="112"/>
      <c r="H181" s="112"/>
      <c r="I181" s="112"/>
      <c r="J181" s="112"/>
      <c r="K181" s="112"/>
      <c r="L181" s="112"/>
      <c r="M181" s="112"/>
      <c r="N181" s="112"/>
      <c r="O181" s="112"/>
      <c r="P181" s="112"/>
      <c r="Q181" s="112"/>
      <c r="R181" s="112"/>
      <c r="S181" s="112"/>
      <c r="T181" s="112"/>
      <c r="U181" s="112"/>
      <c r="V181" s="112"/>
      <c r="W181" s="112"/>
      <c r="X181" s="112"/>
      <c r="Y181" s="147"/>
      <c r="Z181" s="279"/>
      <c r="AC181" s="285"/>
      <c r="AD181" s="286"/>
      <c r="AE181" s="285"/>
      <c r="AF181" s="285"/>
      <c r="AG181" s="285"/>
      <c r="AH181" s="285"/>
      <c r="AI181" s="285"/>
      <c r="AJ181" s="285"/>
      <c r="AK181" s="285"/>
    </row>
    <row r="182" spans="1:38" ht="51">
      <c r="A182" s="220" t="s">
        <v>23</v>
      </c>
      <c r="B182" s="220" t="s">
        <v>25</v>
      </c>
      <c r="C182" s="221" t="s">
        <v>4</v>
      </c>
      <c r="D182" s="220" t="s">
        <v>64</v>
      </c>
      <c r="E182" s="109" t="s">
        <v>227</v>
      </c>
      <c r="F182" s="109" t="s">
        <v>228</v>
      </c>
      <c r="G182" s="10" t="s">
        <v>325</v>
      </c>
      <c r="H182" s="10" t="s">
        <v>326</v>
      </c>
      <c r="I182" s="10" t="s">
        <v>328</v>
      </c>
      <c r="J182" s="10" t="s">
        <v>327</v>
      </c>
      <c r="K182" s="10" t="s">
        <v>330</v>
      </c>
      <c r="L182" s="381" t="s">
        <v>292</v>
      </c>
      <c r="M182" s="381" t="s">
        <v>293</v>
      </c>
      <c r="N182" s="381" t="s">
        <v>294</v>
      </c>
      <c r="O182" s="381" t="s">
        <v>295</v>
      </c>
      <c r="P182" s="112"/>
      <c r="Q182" s="112"/>
      <c r="R182" s="112"/>
      <c r="S182" s="112"/>
      <c r="T182" s="112"/>
      <c r="U182" s="112"/>
      <c r="V182" s="112"/>
      <c r="W182" s="112"/>
      <c r="X182" s="112"/>
      <c r="Y182" s="147"/>
      <c r="Z182" s="279"/>
      <c r="AB182" s="286" t="s">
        <v>409</v>
      </c>
      <c r="AC182" s="285"/>
      <c r="AD182" s="286"/>
      <c r="AE182" s="285"/>
      <c r="AF182" s="285"/>
      <c r="AG182" s="285"/>
      <c r="AH182" s="285"/>
      <c r="AI182" s="285"/>
      <c r="AJ182" s="285"/>
      <c r="AK182" s="285"/>
    </row>
    <row r="183" spans="1:38">
      <c r="A183" s="222" t="str">
        <f>$A$81</f>
        <v>U/L Chord  (LT)</v>
      </c>
      <c r="B183" s="223" t="e">
        <f>$B$81</f>
        <v>#N/A</v>
      </c>
      <c r="C183" s="224" t="e">
        <f>$C$81</f>
        <v>#N/A</v>
      </c>
      <c r="D183" s="225" t="e">
        <f>$J$57</f>
        <v>#N/A</v>
      </c>
      <c r="E183" s="21" t="e">
        <f>$B$42*$B$43</f>
        <v>#N/A</v>
      </c>
      <c r="F183" s="21" t="e">
        <f>$B$45*$B$46</f>
        <v>#N/A</v>
      </c>
      <c r="G183" s="3" t="e">
        <f>IF(OR(C183="None",D183="Dead",D183="N/A",E174="No"),"N/A",(LOOKUP($C$41,'Info Tables'!$A$303:$A$342,'Info Tables'!$C$303:$C$342)))</f>
        <v>#N/A</v>
      </c>
      <c r="H183" s="3" t="e">
        <f>IF(OR(D183="None",D183="Dead",E174="No"),"N/A",(LOOKUP($C$41,'Info Tables'!$A$403:$A$442,'Info Tables'!$C$403:$C$442)))</f>
        <v>#N/A</v>
      </c>
      <c r="I183" s="3" t="e">
        <f>IF(OR(G183="N/A",G183="None"),"N/A",(E183+F183)*G183)</f>
        <v>#N/A</v>
      </c>
      <c r="J183" s="3" t="e">
        <f>IF(OR(G183="N/A",G183="None"),"N/A",(E183+F183)*H183)</f>
        <v>#N/A</v>
      </c>
      <c r="K183" s="3" t="e">
        <f>IF(OR(G183="N/A",G183="None"),"N/A",IF(J183+($B$171*I183)&gt;=I183,I183,(J183+($B$171*I183))))</f>
        <v>#N/A</v>
      </c>
      <c r="L183" s="382" t="e">
        <f>IF(OR(G183="N/A",G183="None"),"N/A",IF(D183="Compression","N/A",MIN((I183*$B$168),(K183*$B$169))))</f>
        <v>#N/A</v>
      </c>
      <c r="M183" s="382" t="e">
        <f>IF(OR(G183="N/A",G183="None"),"N/A",IF(D183="Compression","N/A",ABS($D$57)))</f>
        <v>#N/A</v>
      </c>
      <c r="N183" s="382" t="e">
        <f>IF(OR(G183="N/A",G183="None"),"N/A",IF(D183="Compression","N/A",ABS($F$57)))</f>
        <v>#N/A</v>
      </c>
      <c r="O183" s="382" t="e">
        <f>IF(L183="N/A","N/A",(L183-M183)/N183)</f>
        <v>#N/A</v>
      </c>
      <c r="P183" s="112"/>
      <c r="Q183" s="112"/>
      <c r="R183" s="112"/>
      <c r="S183" s="112"/>
      <c r="T183" s="112"/>
      <c r="U183" s="112"/>
      <c r="V183" s="112"/>
      <c r="W183" s="112"/>
      <c r="X183" s="112"/>
      <c r="Y183" s="147"/>
      <c r="Z183" s="279"/>
      <c r="AB183" s="286" t="e">
        <f>O183</f>
        <v>#N/A</v>
      </c>
      <c r="AC183" s="285"/>
      <c r="AD183" s="286"/>
      <c r="AE183" s="285"/>
      <c r="AF183" s="285"/>
      <c r="AG183" s="285"/>
      <c r="AH183" s="285"/>
      <c r="AI183" s="285"/>
      <c r="AJ183" s="285"/>
      <c r="AK183" s="285"/>
    </row>
    <row r="184" spans="1:38">
      <c r="A184" s="222" t="str">
        <f>$A$82</f>
        <v>U/L Chord  (RT)</v>
      </c>
      <c r="B184" s="223" t="e">
        <f>$B$82</f>
        <v>#N/A</v>
      </c>
      <c r="C184" s="224" t="e">
        <f>$C$82</f>
        <v>#N/A</v>
      </c>
      <c r="D184" s="225" t="e">
        <f>$J$58</f>
        <v>#N/A</v>
      </c>
      <c r="E184" s="21" t="e">
        <f>$B$42*$B$43</f>
        <v>#N/A</v>
      </c>
      <c r="F184" s="21" t="e">
        <f>$B$45*$B$46</f>
        <v>#N/A</v>
      </c>
      <c r="G184" s="3" t="e">
        <f>IF(OR(C184="None",D184="Dead",D184="N/A",E175="No"),"N/A",(LOOKUP($C$41,'Info Tables'!$A$303:$A$342,'Info Tables'!$D$303:$D$342)))</f>
        <v>#N/A</v>
      </c>
      <c r="H184" s="3" t="e">
        <f>IF(OR(D184="None",D184="Dead",E175="No"),"N/A",(LOOKUP($C$41,'Info Tables'!$A$403:$A$442,'Info Tables'!$D$403:$D$442)))</f>
        <v>#N/A</v>
      </c>
      <c r="I184" s="3" t="e">
        <f>IF(OR(G184="N/A",G184="None"),"N/A",(E184+F184)*G184)</f>
        <v>#N/A</v>
      </c>
      <c r="J184" s="3" t="e">
        <f>IF(OR(G184="N/A",G184="None"),"N/A",(E184+F184)*H184)</f>
        <v>#N/A</v>
      </c>
      <c r="K184" s="3" t="e">
        <f>IF(OR(G184="N/A",G184="None"),"N/A",IF(J184+($B$171*I184)&gt;=I184,I184,(J184+($B$171*I184))))</f>
        <v>#N/A</v>
      </c>
      <c r="L184" s="382" t="e">
        <f>IF(OR(G184="N/A",G184="None"),"N/A",IF(D184="Compression","N/A",MIN((I184*$B$168),(K184*$B$169))))</f>
        <v>#N/A</v>
      </c>
      <c r="M184" s="382" t="e">
        <f>IF(OR(G184="N/A",G184="None"),"N/A",IF(D184="Compression","N/A",ABS($D$58)))</f>
        <v>#N/A</v>
      </c>
      <c r="N184" s="382" t="e">
        <f>IF(OR(G184="N/A",G184="None"),"N/A",IF(D184="Compression","N/A",ABS($F$58)))</f>
        <v>#N/A</v>
      </c>
      <c r="O184" s="382" t="e">
        <f>IF(L184="N/A","N/A",(L184-M184)/N184)</f>
        <v>#N/A</v>
      </c>
      <c r="P184" s="112"/>
      <c r="Q184" s="112"/>
      <c r="R184" s="112"/>
      <c r="S184" s="112"/>
      <c r="T184" s="112"/>
      <c r="U184" s="112"/>
      <c r="V184" s="112"/>
      <c r="W184" s="112"/>
      <c r="X184" s="112"/>
      <c r="Y184" s="147"/>
      <c r="Z184" s="279"/>
      <c r="AB184" s="286" t="e">
        <f>O184</f>
        <v>#N/A</v>
      </c>
      <c r="AC184" s="285"/>
      <c r="AD184" s="286"/>
      <c r="AE184" s="285"/>
      <c r="AF184" s="285"/>
      <c r="AG184" s="285"/>
      <c r="AH184" s="285"/>
      <c r="AI184" s="285"/>
      <c r="AJ184" s="285"/>
      <c r="AK184" s="285"/>
    </row>
    <row r="185" spans="1:38">
      <c r="A185" s="222" t="str">
        <f>$A$83</f>
        <v>Diagonal (LT)</v>
      </c>
      <c r="B185" s="223" t="e">
        <f>$B$83</f>
        <v>#N/A</v>
      </c>
      <c r="C185" s="224" t="e">
        <f>$C$83</f>
        <v>#N/A</v>
      </c>
      <c r="D185" s="225" t="e">
        <f>$J$59</f>
        <v>#N/A</v>
      </c>
      <c r="E185" s="21" t="e">
        <f>$B$42*$B$43</f>
        <v>#N/A</v>
      </c>
      <c r="F185" s="21" t="e">
        <f>$B$45*$B$46</f>
        <v>#N/A</v>
      </c>
      <c r="G185" s="3" t="e">
        <f>IF(OR(C185="None",D185="Dead",D185="N/A"),"N/A",(LOOKUP($C$41,'Info Tables'!$A$303:$A$342,'Info Tables'!$E$303:$E$342)))</f>
        <v>#N/A</v>
      </c>
      <c r="H185" s="3" t="e">
        <f>IF(OR(D185="None",D185="Dead"),"N/A",(LOOKUP($C$41,'Info Tables'!$A$403:$A$442,'Info Tables'!$E$403:$E$442)))</f>
        <v>#N/A</v>
      </c>
      <c r="I185" s="3" t="e">
        <f>IF(OR(G185="N/A",G185="None"),"N/A",(E185+F185)*G185)</f>
        <v>#N/A</v>
      </c>
      <c r="J185" s="3" t="e">
        <f>IF(OR(G185="N/A",G185="None"),"N/A",(E185+F185)*H185)</f>
        <v>#N/A</v>
      </c>
      <c r="K185" s="3" t="e">
        <f>IF(OR(G185="N/A",G185="None"),"N/A",IF(J185+($B$171*I185)&gt;=I185,I185,(J185+($B$171*I185))))</f>
        <v>#N/A</v>
      </c>
      <c r="L185" s="382" t="e">
        <f>IF(OR(G185="N/A",G185="None"),"N/A",IF(D185="Compression","N/A",MIN((I185*$B$168),(K185*$B$169))))</f>
        <v>#N/A</v>
      </c>
      <c r="M185" s="382" t="e">
        <f>IF(OR(G185="N/A",G185="None"),"N/A",IF(D185="Compression","N/A",ABS($D$59)))</f>
        <v>#N/A</v>
      </c>
      <c r="N185" s="382" t="e">
        <f>IF(OR(G185="N/A",G185="None"),"N/A",IF(D185="Compression","N/A",ABS($F$59)))</f>
        <v>#N/A</v>
      </c>
      <c r="O185" s="382" t="e">
        <f>IF(L185="N/A","N/A",(L185-M185)/N185)</f>
        <v>#N/A</v>
      </c>
      <c r="P185" s="112"/>
      <c r="Q185" s="112"/>
      <c r="R185" s="112"/>
      <c r="S185" s="112"/>
      <c r="T185" s="112"/>
      <c r="U185" s="112"/>
      <c r="V185" s="112"/>
      <c r="W185" s="112"/>
      <c r="X185" s="112"/>
      <c r="Y185" s="147"/>
      <c r="Z185" s="279"/>
      <c r="AB185" s="286" t="e">
        <f>O185</f>
        <v>#N/A</v>
      </c>
      <c r="AC185" s="285"/>
      <c r="AD185" s="286"/>
      <c r="AE185" s="285"/>
      <c r="AF185" s="285"/>
      <c r="AG185" s="285"/>
      <c r="AH185" s="285"/>
      <c r="AI185" s="285"/>
      <c r="AJ185" s="285"/>
      <c r="AK185" s="285"/>
    </row>
    <row r="186" spans="1:38">
      <c r="A186" s="222" t="str">
        <f>$A$84</f>
        <v>Diagonal (RT)</v>
      </c>
      <c r="B186" s="223" t="e">
        <f>$B$84</f>
        <v>#N/A</v>
      </c>
      <c r="C186" s="224" t="e">
        <f>$C$84</f>
        <v>#N/A</v>
      </c>
      <c r="D186" s="225" t="e">
        <f>$J$60</f>
        <v>#N/A</v>
      </c>
      <c r="E186" s="21" t="e">
        <f>$B$42*$B$43</f>
        <v>#N/A</v>
      </c>
      <c r="F186" s="21" t="e">
        <f>$B$45*$B$46</f>
        <v>#N/A</v>
      </c>
      <c r="G186" s="3" t="e">
        <f>IF(OR(C186="None",D186="Dead",D186="N/A"),"N/A",(LOOKUP($C$41,'Info Tables'!$A$303:$A$342,'Info Tables'!$F$303:$F$342)))</f>
        <v>#N/A</v>
      </c>
      <c r="H186" s="3" t="e">
        <f>IF(OR(D186="None",D186="Dead"),"N/A",(LOOKUP($C$41,'Info Tables'!$A$403:$A$442,'Info Tables'!$F$403:$F$442)))</f>
        <v>#N/A</v>
      </c>
      <c r="I186" s="3" t="e">
        <f>IF(OR(G186="N/A",G186="None"),"N/A",(E186+F186)*G186)</f>
        <v>#N/A</v>
      </c>
      <c r="J186" s="3" t="e">
        <f>IF(OR(G186="N/A",G186="None"),"N/A",(E186+F186)*H186)</f>
        <v>#N/A</v>
      </c>
      <c r="K186" s="3" t="e">
        <f>IF(OR(G186="N/A",G186="None"),"N/A",IF(J186+($B$171*I186)&gt;=I186,I186,(J186+($B$171*I186))))</f>
        <v>#N/A</v>
      </c>
      <c r="L186" s="382" t="e">
        <f>IF(OR(G186="N/A",G186="None"),"N/A",IF(D186="Compression","N/A",MIN((I186*$B$168),(K186*$B$169))))</f>
        <v>#N/A</v>
      </c>
      <c r="M186" s="382" t="e">
        <f>IF(OR(G186="N/A",G186="None"),"N/A",IF(D186="Compression","N/A",ABS($D$60)))</f>
        <v>#N/A</v>
      </c>
      <c r="N186" s="382" t="e">
        <f>IF(OR(G186="N/A",G186="None"),"N/A",IF(D186="Compression","N/A",ABS($F$60)))</f>
        <v>#N/A</v>
      </c>
      <c r="O186" s="382" t="e">
        <f>IF(L186="N/A","N/A",(L186-M186)/N186)</f>
        <v>#N/A</v>
      </c>
      <c r="P186" s="112"/>
      <c r="Q186" s="112"/>
      <c r="R186" s="112"/>
      <c r="S186" s="112"/>
      <c r="T186" s="112"/>
      <c r="U186" s="112"/>
      <c r="V186" s="112"/>
      <c r="W186" s="112"/>
      <c r="X186" s="112"/>
      <c r="Y186" s="147"/>
      <c r="Z186" s="279"/>
      <c r="AB186" s="286" t="e">
        <f>O186</f>
        <v>#N/A</v>
      </c>
      <c r="AC186" s="285"/>
      <c r="AD186" s="286"/>
      <c r="AE186" s="285"/>
      <c r="AF186" s="285"/>
      <c r="AG186" s="285"/>
      <c r="AH186" s="285"/>
      <c r="AI186" s="285"/>
      <c r="AJ186" s="285"/>
      <c r="AK186" s="285"/>
    </row>
    <row r="187" spans="1:38">
      <c r="A187" s="222" t="str">
        <f>$A$85</f>
        <v>Vertical</v>
      </c>
      <c r="B187" s="223" t="e">
        <f>$B$85</f>
        <v>#N/A</v>
      </c>
      <c r="C187" s="224" t="e">
        <f>$C$85</f>
        <v>#N/A</v>
      </c>
      <c r="D187" s="225" t="e">
        <f>$J$61</f>
        <v>#N/A</v>
      </c>
      <c r="E187" s="21" t="e">
        <f>$B$42*$B$43</f>
        <v>#N/A</v>
      </c>
      <c r="F187" s="21" t="e">
        <f>$B$45*$B$46</f>
        <v>#N/A</v>
      </c>
      <c r="G187" s="3" t="e">
        <f>IF(OR(C187="None",D187="Dead",D187="N/A"),"N/A",(LOOKUP($C$41,'Info Tables'!$A$303:$A$342,'Info Tables'!$G$303:$G$342)))</f>
        <v>#N/A</v>
      </c>
      <c r="H187" s="3" t="e">
        <f>IF(OR(D187="None",D187="Dead"),"N/A",(LOOKUP($C$41,'Info Tables'!$A$403:$A$442,'Info Tables'!$G$403:$G$442)))</f>
        <v>#N/A</v>
      </c>
      <c r="I187" s="3" t="e">
        <f>IF(OR(G187="N/A",G187="None"),"N/A",(E187+F187)*G187)</f>
        <v>#N/A</v>
      </c>
      <c r="J187" s="3" t="e">
        <f>IF(OR(G187="N/A",G187="None"),"N/A",(E187+F187)*H187)</f>
        <v>#N/A</v>
      </c>
      <c r="K187" s="3" t="e">
        <f>IF(OR(G187="N/A",G187="None"),"N/A",IF(J187+($B$171*I187)&gt;=I187,I187,(J187+($B$171*I187))))</f>
        <v>#N/A</v>
      </c>
      <c r="L187" s="382" t="e">
        <f>IF(OR(G187="N/A",G187="None"),"N/A",IF(D187="Compression","N/A",MIN((I187*$B$168),(K187*$B$169))))</f>
        <v>#N/A</v>
      </c>
      <c r="M187" s="382" t="e">
        <f>IF(OR(G187="N/A",G187="None"),"N/A",IF(D187="Compression","N/A",ABS($D$61)))</f>
        <v>#N/A</v>
      </c>
      <c r="N187" s="382" t="e">
        <f>IF(OR(G187="N/A",G187="None"),"N/A",IF(D187="Compression","N/A",ABS($F$61)))</f>
        <v>#N/A</v>
      </c>
      <c r="O187" s="382" t="e">
        <f>IF(L187="N/A","N/A",(L187-M187)/N187)</f>
        <v>#N/A</v>
      </c>
      <c r="P187" s="112"/>
      <c r="Q187" s="112"/>
      <c r="R187" s="112"/>
      <c r="S187" s="112"/>
      <c r="T187" s="112"/>
      <c r="U187" s="112"/>
      <c r="V187" s="112"/>
      <c r="W187" s="112"/>
      <c r="X187" s="112"/>
      <c r="Y187" s="147"/>
      <c r="Z187" s="279"/>
      <c r="AB187" s="286" t="e">
        <f>O187</f>
        <v>#N/A</v>
      </c>
      <c r="AC187" s="285"/>
      <c r="AD187" s="286"/>
      <c r="AE187" s="285"/>
      <c r="AF187" s="285"/>
      <c r="AG187" s="285"/>
      <c r="AH187" s="285"/>
      <c r="AI187" s="285"/>
      <c r="AJ187" s="285"/>
      <c r="AK187" s="285"/>
    </row>
    <row r="188" spans="1:38">
      <c r="A188" s="112"/>
      <c r="B188" s="112"/>
      <c r="C188" s="112"/>
      <c r="D188" s="112"/>
      <c r="E188" s="112"/>
      <c r="F188" s="112"/>
      <c r="G188" s="112"/>
      <c r="H188" s="112"/>
      <c r="I188" s="112"/>
      <c r="J188" s="112"/>
      <c r="K188" s="112"/>
      <c r="L188" s="112"/>
      <c r="M188" s="112"/>
      <c r="N188" s="112"/>
      <c r="O188" s="112"/>
      <c r="P188" s="112"/>
      <c r="Q188" s="112"/>
      <c r="R188" s="112"/>
      <c r="S188" s="112"/>
      <c r="T188" s="112"/>
      <c r="U188" s="112"/>
      <c r="V188" s="112"/>
      <c r="W188" s="112"/>
      <c r="X188" s="112"/>
      <c r="Y188" s="147"/>
      <c r="Z188" s="279"/>
      <c r="AC188" s="285"/>
      <c r="AD188" s="286"/>
      <c r="AE188" s="285"/>
      <c r="AF188" s="285"/>
      <c r="AG188" s="285"/>
      <c r="AH188" s="285"/>
      <c r="AI188" s="285"/>
      <c r="AJ188" s="285"/>
      <c r="AK188" s="285"/>
    </row>
    <row r="189" spans="1:38">
      <c r="A189" s="112"/>
      <c r="B189" s="112"/>
      <c r="C189" s="112"/>
      <c r="D189" s="112"/>
      <c r="E189" s="112"/>
      <c r="F189" s="112"/>
      <c r="G189" s="112"/>
      <c r="H189" s="112"/>
      <c r="I189" s="112"/>
      <c r="J189" s="112"/>
      <c r="K189" s="112"/>
      <c r="L189" s="112"/>
      <c r="M189" s="112"/>
      <c r="N189" s="112"/>
      <c r="O189" s="112"/>
      <c r="P189" s="112"/>
      <c r="Q189" s="112"/>
      <c r="R189" s="112"/>
      <c r="S189" s="112"/>
      <c r="T189" s="112"/>
      <c r="U189" s="112"/>
      <c r="V189" s="112"/>
      <c r="W189" s="112"/>
      <c r="X189" s="112"/>
      <c r="Y189" s="147"/>
      <c r="Z189" s="279"/>
      <c r="AC189" s="285"/>
      <c r="AD189" s="286"/>
      <c r="AE189" s="285"/>
      <c r="AF189" s="285"/>
      <c r="AG189" s="285"/>
      <c r="AH189" s="285"/>
      <c r="AI189" s="285"/>
      <c r="AJ189" s="285"/>
      <c r="AK189" s="285"/>
    </row>
    <row r="190" spans="1:38">
      <c r="A190" s="112"/>
      <c r="B190" s="112"/>
      <c r="C190" s="112"/>
      <c r="D190" s="112"/>
      <c r="E190" s="112"/>
      <c r="F190" s="112"/>
      <c r="G190" s="112"/>
      <c r="H190" s="112"/>
      <c r="I190" s="112"/>
      <c r="J190" s="112"/>
      <c r="K190" s="112"/>
      <c r="L190" s="112"/>
      <c r="M190" s="112"/>
      <c r="N190" s="112"/>
      <c r="O190" s="112"/>
      <c r="P190" s="112"/>
      <c r="Q190" s="112"/>
      <c r="R190" s="112"/>
      <c r="S190" s="112"/>
      <c r="T190" s="112"/>
      <c r="U190" s="112"/>
      <c r="V190" s="112"/>
      <c r="W190" s="112"/>
      <c r="X190" s="112"/>
      <c r="Y190" s="147"/>
      <c r="Z190" s="279"/>
      <c r="AC190" s="285"/>
      <c r="AD190" s="286"/>
      <c r="AE190" s="285"/>
      <c r="AF190" s="285"/>
      <c r="AG190" s="285"/>
      <c r="AH190" s="285"/>
      <c r="AI190" s="285"/>
      <c r="AJ190" s="285"/>
      <c r="AK190" s="285"/>
    </row>
    <row r="191" spans="1:38">
      <c r="A191" s="112"/>
      <c r="B191" s="112"/>
      <c r="C191" s="112"/>
      <c r="D191" s="112"/>
      <c r="E191" s="112"/>
      <c r="F191" s="112"/>
      <c r="G191" s="112"/>
      <c r="H191" s="112"/>
      <c r="I191" s="112"/>
      <c r="J191" s="112"/>
      <c r="K191" s="112"/>
      <c r="L191" s="112"/>
      <c r="M191" s="112"/>
      <c r="N191" s="112"/>
      <c r="O191" s="112"/>
      <c r="P191" s="112"/>
      <c r="Q191" s="112"/>
      <c r="R191" s="112"/>
      <c r="S191" s="112"/>
      <c r="T191" s="112"/>
      <c r="U191" s="112"/>
      <c r="V191" s="112"/>
      <c r="W191" s="112"/>
      <c r="X191" s="112"/>
      <c r="Y191" s="147"/>
      <c r="Z191" s="279"/>
      <c r="AC191" s="285"/>
      <c r="AD191" s="286"/>
      <c r="AE191" s="285"/>
      <c r="AF191" s="285"/>
      <c r="AG191" s="285"/>
      <c r="AH191" s="285"/>
      <c r="AI191" s="285"/>
      <c r="AJ191" s="285"/>
      <c r="AK191" s="285"/>
    </row>
    <row r="192" spans="1:38">
      <c r="A192" s="112"/>
      <c r="B192" s="112"/>
      <c r="C192" s="112"/>
      <c r="D192" s="112"/>
      <c r="E192" s="112"/>
      <c r="F192" s="112"/>
      <c r="G192" s="112"/>
      <c r="H192" s="112"/>
      <c r="I192" s="112"/>
      <c r="J192" s="112"/>
      <c r="K192" s="112"/>
      <c r="L192" s="112"/>
      <c r="M192" s="112"/>
      <c r="N192" s="112"/>
      <c r="O192" s="112"/>
      <c r="P192" s="112"/>
      <c r="Q192" s="112"/>
      <c r="R192" s="112"/>
      <c r="S192" s="112"/>
      <c r="T192" s="112"/>
      <c r="U192" s="112"/>
      <c r="V192" s="112"/>
      <c r="W192" s="112"/>
      <c r="X192" s="112"/>
      <c r="Y192" s="147"/>
      <c r="Z192" s="279"/>
      <c r="AC192" s="285"/>
      <c r="AD192" s="286"/>
      <c r="AE192" s="285"/>
      <c r="AF192" s="285"/>
      <c r="AG192" s="285"/>
      <c r="AH192" s="285"/>
      <c r="AI192" s="285"/>
      <c r="AJ192" s="285"/>
      <c r="AK192" s="285"/>
    </row>
    <row r="193" spans="1:37">
      <c r="A193" s="93" t="s">
        <v>437</v>
      </c>
      <c r="B193" s="44"/>
      <c r="C193" s="112"/>
      <c r="D193" s="112"/>
      <c r="E193" s="112"/>
      <c r="F193" s="112"/>
      <c r="G193" s="112"/>
      <c r="H193" s="112"/>
      <c r="I193" s="112"/>
      <c r="J193" s="112"/>
      <c r="K193" s="112"/>
      <c r="L193" s="112"/>
      <c r="M193" s="112"/>
      <c r="N193" s="112"/>
      <c r="O193" s="112"/>
      <c r="P193" s="112"/>
      <c r="Q193" s="112"/>
      <c r="R193" s="112"/>
      <c r="S193" s="112"/>
      <c r="T193" s="112"/>
      <c r="U193" s="112"/>
      <c r="V193" s="112"/>
      <c r="W193" s="112"/>
      <c r="X193" s="112"/>
      <c r="Y193" s="147"/>
      <c r="Z193" s="279"/>
      <c r="AA193" s="288" t="e">
        <f>MIN(AB221:AB225)</f>
        <v>#N/A</v>
      </c>
      <c r="AB193" s="282" t="e">
        <f>MIN(AE203:AE207,AE212:AE216)</f>
        <v>#N/A</v>
      </c>
      <c r="AC193" s="283" t="e">
        <f>IF(SUM(AC203:AC207,AC212:AC216)=0,"OK","NG")</f>
        <v>#N/A</v>
      </c>
      <c r="AD193" s="290" t="str">
        <f>A193</f>
        <v>5: Gusset Plate Axial Tension &amp; Shear Rupture Resistance (Block Shear)</v>
      </c>
      <c r="AE193" s="285"/>
      <c r="AF193" s="285"/>
      <c r="AG193" s="285"/>
      <c r="AH193" s="285"/>
      <c r="AI193" s="285"/>
      <c r="AJ193" s="285"/>
      <c r="AK193" s="285"/>
    </row>
    <row r="194" spans="1:37">
      <c r="A194" s="95" t="s">
        <v>79</v>
      </c>
      <c r="B194" s="44"/>
      <c r="C194" s="112"/>
      <c r="D194" s="112"/>
      <c r="E194" s="112"/>
      <c r="F194" s="112"/>
      <c r="G194" s="112"/>
      <c r="H194" s="112"/>
      <c r="I194" s="112"/>
      <c r="J194" s="112"/>
      <c r="K194" s="112"/>
      <c r="L194" s="112"/>
      <c r="M194" s="112"/>
      <c r="N194" s="112"/>
      <c r="O194" s="112"/>
      <c r="P194" s="112"/>
      <c r="Q194" s="112"/>
      <c r="R194" s="112"/>
      <c r="S194" s="112"/>
      <c r="T194" s="112"/>
      <c r="U194" s="112"/>
      <c r="V194" s="112"/>
      <c r="W194" s="112"/>
      <c r="X194" s="112"/>
      <c r="Y194" s="147"/>
      <c r="Z194" s="279"/>
      <c r="AC194" s="285"/>
      <c r="AD194" s="285"/>
      <c r="AE194" s="285"/>
      <c r="AF194" s="285"/>
      <c r="AG194" s="285"/>
      <c r="AH194" s="285"/>
      <c r="AI194" s="285"/>
      <c r="AJ194" s="285"/>
      <c r="AK194" s="285"/>
    </row>
    <row r="195" spans="1:37">
      <c r="A195" s="112" t="s">
        <v>93</v>
      </c>
      <c r="B195" s="44">
        <f>$A$35/1000</f>
        <v>0</v>
      </c>
      <c r="C195" s="112" t="s">
        <v>77</v>
      </c>
      <c r="D195" s="112"/>
      <c r="E195" s="112"/>
      <c r="F195" s="112"/>
      <c r="G195" s="100"/>
      <c r="H195" s="112"/>
      <c r="I195" s="112"/>
      <c r="J195" s="112"/>
      <c r="K195" s="112"/>
      <c r="L195" s="112"/>
      <c r="M195" s="112"/>
      <c r="N195" s="112"/>
      <c r="O195" s="112"/>
      <c r="P195" s="112"/>
      <c r="Q195" s="112"/>
      <c r="R195" s="112"/>
      <c r="S195" s="112"/>
      <c r="T195" s="112"/>
      <c r="U195" s="112"/>
      <c r="V195" s="112"/>
      <c r="W195" s="112"/>
      <c r="X195" s="112"/>
      <c r="Y195" s="147"/>
      <c r="Z195" s="279"/>
      <c r="AC195" s="285"/>
      <c r="AD195" s="285"/>
      <c r="AE195" s="285"/>
      <c r="AF195" s="285"/>
      <c r="AG195" s="285"/>
      <c r="AH195" s="285"/>
      <c r="AI195" s="285"/>
      <c r="AJ195" s="285"/>
      <c r="AK195" s="285"/>
    </row>
    <row r="196" spans="1:37">
      <c r="A196" s="112" t="s">
        <v>94</v>
      </c>
      <c r="B196" s="44">
        <f>$B$35/1000</f>
        <v>0</v>
      </c>
      <c r="C196" s="112" t="s">
        <v>77</v>
      </c>
      <c r="D196" s="112"/>
      <c r="E196" s="112"/>
      <c r="F196" s="112"/>
      <c r="G196" s="112"/>
      <c r="H196" s="112"/>
      <c r="I196" s="112"/>
      <c r="J196" s="112"/>
      <c r="K196" s="112"/>
      <c r="L196" s="112"/>
      <c r="M196" s="112"/>
      <c r="N196" s="112"/>
      <c r="O196" s="112"/>
      <c r="P196" s="112"/>
      <c r="Q196" s="112"/>
      <c r="R196" s="112"/>
      <c r="S196" s="112"/>
      <c r="T196" s="112"/>
      <c r="U196" s="112"/>
      <c r="V196" s="112"/>
      <c r="W196" s="112"/>
      <c r="X196" s="112"/>
      <c r="Y196" s="147"/>
      <c r="Z196" s="279"/>
      <c r="AC196" s="285"/>
      <c r="AD196" s="285"/>
      <c r="AE196" s="285"/>
      <c r="AF196" s="285"/>
      <c r="AG196" s="285"/>
      <c r="AH196" s="285"/>
      <c r="AI196" s="285"/>
      <c r="AJ196" s="285"/>
      <c r="AK196" s="285"/>
    </row>
    <row r="197" spans="1:37">
      <c r="A197" s="112" t="s">
        <v>95</v>
      </c>
      <c r="B197" s="44">
        <f>$E$35/1000</f>
        <v>0</v>
      </c>
      <c r="C197" s="112" t="s">
        <v>77</v>
      </c>
      <c r="D197" s="112"/>
      <c r="E197" s="112"/>
      <c r="F197" s="112"/>
      <c r="G197" s="112"/>
      <c r="H197" s="112"/>
      <c r="I197" s="112"/>
      <c r="J197" s="112"/>
      <c r="K197" s="112"/>
      <c r="L197" s="112"/>
      <c r="M197" s="112"/>
      <c r="N197" s="112"/>
      <c r="O197" s="112"/>
      <c r="P197" s="112"/>
      <c r="Q197" s="112"/>
      <c r="R197" s="112"/>
      <c r="S197" s="112"/>
      <c r="T197" s="112"/>
      <c r="U197" s="112"/>
      <c r="V197" s="112"/>
      <c r="W197" s="112"/>
      <c r="X197" s="112"/>
      <c r="Y197" s="147"/>
      <c r="Z197" s="279"/>
      <c r="AC197" s="285"/>
      <c r="AD197" s="285"/>
      <c r="AE197" s="285"/>
      <c r="AF197" s="285"/>
      <c r="AG197" s="285"/>
      <c r="AH197" s="285"/>
      <c r="AI197" s="285"/>
      <c r="AJ197" s="285"/>
      <c r="AK197" s="285"/>
    </row>
    <row r="198" spans="1:37">
      <c r="A198" s="112" t="s">
        <v>96</v>
      </c>
      <c r="B198" s="44">
        <f>$F$35/1000</f>
        <v>0</v>
      </c>
      <c r="C198" s="112" t="s">
        <v>77</v>
      </c>
      <c r="D198" s="112"/>
      <c r="E198" s="112"/>
      <c r="F198" s="112"/>
      <c r="G198" s="112"/>
      <c r="H198" s="112"/>
      <c r="I198" s="112"/>
      <c r="J198" s="112"/>
      <c r="K198" s="112"/>
      <c r="L198" s="112"/>
      <c r="M198" s="112"/>
      <c r="N198" s="112"/>
      <c r="O198" s="112"/>
      <c r="P198" s="112"/>
      <c r="Q198" s="112"/>
      <c r="R198" s="112"/>
      <c r="S198" s="112"/>
      <c r="T198" s="112"/>
      <c r="U198" s="112"/>
      <c r="V198" s="112"/>
      <c r="W198" s="112"/>
      <c r="X198" s="112"/>
      <c r="Y198" s="147"/>
      <c r="Z198" s="279"/>
      <c r="AC198" s="285"/>
      <c r="AD198" s="285"/>
      <c r="AE198" s="285"/>
      <c r="AF198" s="285"/>
      <c r="AG198" s="285"/>
      <c r="AH198" s="285"/>
      <c r="AI198" s="285"/>
      <c r="AJ198" s="285"/>
      <c r="AK198" s="285"/>
    </row>
    <row r="199" spans="1:37">
      <c r="A199" s="102"/>
      <c r="B199" s="44"/>
      <c r="C199" s="101"/>
      <c r="D199" s="112"/>
      <c r="E199" s="112"/>
      <c r="F199" s="112"/>
      <c r="G199" s="112"/>
      <c r="H199" s="112"/>
      <c r="I199" s="112"/>
      <c r="J199" s="112"/>
      <c r="K199" s="112"/>
      <c r="L199" s="112"/>
      <c r="M199" s="112"/>
      <c r="N199" s="112"/>
      <c r="O199" s="112"/>
      <c r="P199" s="112"/>
      <c r="Q199" s="112"/>
      <c r="R199" s="112"/>
      <c r="S199" s="112"/>
      <c r="T199" s="112"/>
      <c r="U199" s="112"/>
      <c r="V199" s="112"/>
      <c r="W199" s="112"/>
      <c r="X199" s="112"/>
      <c r="Y199" s="147"/>
      <c r="Z199" s="279"/>
      <c r="AC199" s="285"/>
      <c r="AD199" s="285"/>
      <c r="AE199" s="285"/>
      <c r="AF199" s="285"/>
      <c r="AG199" s="285"/>
      <c r="AH199" s="285"/>
      <c r="AI199" s="285"/>
      <c r="AJ199" s="285"/>
      <c r="AK199" s="285"/>
    </row>
    <row r="200" spans="1:37">
      <c r="A200" s="112"/>
      <c r="B200" s="112"/>
      <c r="C200" s="112"/>
      <c r="D200" s="112"/>
      <c r="E200" s="112"/>
      <c r="F200" s="112"/>
      <c r="G200" s="112"/>
      <c r="H200" s="112"/>
      <c r="I200" s="112"/>
      <c r="J200" s="112"/>
      <c r="K200" s="112"/>
      <c r="L200" s="112"/>
      <c r="M200" s="112"/>
      <c r="N200" s="112"/>
      <c r="O200" s="112"/>
      <c r="P200" s="112"/>
      <c r="Q200" s="112"/>
      <c r="R200" s="112"/>
      <c r="S200" s="112"/>
      <c r="T200" s="112"/>
      <c r="U200" s="112"/>
      <c r="V200" s="112"/>
      <c r="W200" s="112"/>
      <c r="X200" s="112"/>
      <c r="Y200" s="147"/>
      <c r="Z200" s="279"/>
      <c r="AC200" s="285"/>
      <c r="AD200" s="285"/>
      <c r="AE200" s="285"/>
      <c r="AF200" s="285"/>
      <c r="AG200" s="285"/>
      <c r="AH200" s="285"/>
      <c r="AI200" s="285"/>
      <c r="AJ200" s="285"/>
      <c r="AK200" s="285"/>
    </row>
    <row r="201" spans="1:37">
      <c r="A201" s="62" t="s">
        <v>80</v>
      </c>
      <c r="B201" s="112"/>
      <c r="C201" s="112"/>
      <c r="D201" s="112"/>
      <c r="E201" s="112"/>
      <c r="F201" s="112"/>
      <c r="G201" s="112"/>
      <c r="H201" s="411" t="s">
        <v>368</v>
      </c>
      <c r="I201" s="412"/>
      <c r="J201" s="409" t="s">
        <v>82</v>
      </c>
      <c r="K201" s="410"/>
      <c r="L201" s="112"/>
      <c r="M201" s="112"/>
      <c r="N201" s="112"/>
      <c r="O201" s="112"/>
      <c r="P201" s="112"/>
      <c r="Q201" s="112"/>
      <c r="R201" s="112"/>
      <c r="S201" s="112"/>
      <c r="T201" s="112"/>
      <c r="U201" s="112"/>
      <c r="V201" s="112"/>
      <c r="W201" s="112"/>
      <c r="X201" s="112"/>
      <c r="Y201" s="147"/>
      <c r="Z201" s="279"/>
      <c r="AC201" s="285"/>
      <c r="AD201" s="285"/>
      <c r="AE201" s="285"/>
      <c r="AF201" s="285"/>
      <c r="AG201" s="285"/>
      <c r="AH201" s="285"/>
      <c r="AI201" s="285"/>
      <c r="AJ201" s="285"/>
      <c r="AK201" s="285"/>
    </row>
    <row r="202" spans="1:37" ht="53.25" customHeight="1">
      <c r="A202" s="5" t="s">
        <v>23</v>
      </c>
      <c r="B202" s="5" t="s">
        <v>25</v>
      </c>
      <c r="C202" s="48" t="s">
        <v>4</v>
      </c>
      <c r="D202" s="5" t="s">
        <v>64</v>
      </c>
      <c r="E202" s="80" t="s">
        <v>179</v>
      </c>
      <c r="F202" s="80" t="s">
        <v>180</v>
      </c>
      <c r="G202" s="2" t="s">
        <v>333</v>
      </c>
      <c r="H202" s="88" t="s">
        <v>335</v>
      </c>
      <c r="I202" s="88" t="s">
        <v>336</v>
      </c>
      <c r="J202" s="49" t="s">
        <v>335</v>
      </c>
      <c r="K202" s="49" t="s">
        <v>339</v>
      </c>
      <c r="L202" s="50" t="s">
        <v>370</v>
      </c>
      <c r="M202" s="50" t="s">
        <v>371</v>
      </c>
      <c r="N202" s="5" t="s">
        <v>372</v>
      </c>
      <c r="O202" s="49" t="s">
        <v>373</v>
      </c>
      <c r="P202" s="112"/>
      <c r="Q202" s="112"/>
      <c r="R202" s="112"/>
      <c r="S202" s="112"/>
      <c r="T202" s="112"/>
      <c r="U202" s="112"/>
      <c r="V202" s="112"/>
      <c r="W202" s="112"/>
      <c r="X202" s="112"/>
      <c r="Y202" s="147"/>
      <c r="Z202" s="279"/>
      <c r="AC202" s="285"/>
      <c r="AD202" s="285"/>
      <c r="AE202" s="285"/>
      <c r="AF202" s="285"/>
      <c r="AG202" s="285"/>
      <c r="AH202" s="285"/>
      <c r="AI202" s="285"/>
      <c r="AJ202" s="285"/>
      <c r="AK202" s="285"/>
    </row>
    <row r="203" spans="1:37">
      <c r="A203" s="151" t="str">
        <f>$A$81</f>
        <v>U/L Chord  (LT)</v>
      </c>
      <c r="B203" s="114" t="e">
        <f>$B$81</f>
        <v>#N/A</v>
      </c>
      <c r="C203" s="17" t="e">
        <f>$C$81</f>
        <v>#N/A</v>
      </c>
      <c r="D203" s="23" t="e">
        <f>$J$57</f>
        <v>#N/A</v>
      </c>
      <c r="E203" s="81" t="e">
        <f>$K$57</f>
        <v>#N/A</v>
      </c>
      <c r="F203" s="81" t="e">
        <f>$L$57</f>
        <v>#N/A</v>
      </c>
      <c r="G203" s="3" t="e">
        <f>IF(OR(D203="Compression",D203="Dead"),"N/A",IF(C203="N/A","N/A",IF(OR(E203="No",F203="Yes"),"N/A",ABS(MAX(G57:H57)))))</f>
        <v>#N/A</v>
      </c>
      <c r="H203" s="64" t="e">
        <f>IF(D203="Compression","N/A",IF(C203="N/A","N/A",IF(OR(E203="No",F203="Yes"),"N/A",0.5*$E$81*LOOKUP($C$41,'Info Tables'!$A$553:$A$592,'Info Tables'!$C$553:$C$592))))</f>
        <v>#N/A</v>
      </c>
      <c r="I203" s="64" t="e">
        <f>IF(D203="Compression","N/A",IF(C203="N/A","N/A",IF(OR(E203="No",F203="Yes"),"N/A",0.5*$E$81*LOOKUP($C$41,'Info Tables'!$A$603:$A$642,'Info Tables'!$C$603:$C$642))))</f>
        <v>#N/A</v>
      </c>
      <c r="J203" s="65" t="e">
        <f>IF(D203="Compression","N/A",IF(C203="N/A","N/A",IF(OR(E203="No",F203="Yes"),"N/A",$I$146*LOOKUP($C$41,'Info Tables'!$A$453:$A$492,'Info Tables'!$C$453:$C$492))))</f>
        <v>#N/A</v>
      </c>
      <c r="K203" s="65" t="e">
        <f>IF(D203="Compression","N/A",IF(C203="N/A","N/A",IF(OR(E203="No",F203="Yes"),"N/A",$I$146*LOOKUP($C$41,'Info Tables'!$A$492:$A$503,'Info Tables'!$C$492:$C$503))))</f>
        <v>#N/A</v>
      </c>
      <c r="L203" s="63" t="e">
        <f>IF(OR(D203="Compression",D203="Dead"),"N/A",IF(C203="N/A","N/A",IF(OR(E203="No",F203="Yes"),"N/A",(($B$197*H203)+($B$196*K203)))))</f>
        <v>#N/A</v>
      </c>
      <c r="M203" s="63" t="e">
        <f>IF(OR(D203="Compression",D203="Dead"),"N/A",IF(C203="N/A","N/A",IF(OR(E203="No",F203="Yes"),"N/A",(($B$198*I203)+($B$195*J203)))))</f>
        <v>#N/A</v>
      </c>
      <c r="N203" s="24" t="e">
        <f>IF(OR(D203="Compression",D203="Dead"),"N/A",IF(OR(C203="N/A",G203=0),"N/A",IF(OR(E203="No",F203="Yes"),"N/A",IF(MIN(L203:M203)&gt;=(G203/2),"OK","NG"))))</f>
        <v>#N/A</v>
      </c>
      <c r="O203" s="61" t="e">
        <f>IF(OR(D203="Compression",D203="Dead"),"N/A",IF(OR(C203="N/A",G203=0),"N/A",IF(OR(E203="No",F203="Yes"),"N/A",MIN(L203/(G203/2),M203/(G203/2)))))</f>
        <v>#N/A</v>
      </c>
      <c r="P203" s="112"/>
      <c r="Q203" s="112"/>
      <c r="R203" s="112"/>
      <c r="S203" s="112"/>
      <c r="T203" s="112"/>
      <c r="U203" s="112"/>
      <c r="V203" s="112"/>
      <c r="W203" s="112"/>
      <c r="X203" s="112"/>
      <c r="Y203" s="147"/>
      <c r="Z203" s="279"/>
      <c r="AC203" s="285" t="e">
        <f>IF(OR(AD203="NG",AE203="NG",AF203="NG",AG203="NG",AH203="NG"),1,0)</f>
        <v>#N/A</v>
      </c>
      <c r="AD203" s="286" t="e">
        <f t="shared" ref="AD203:AE207" si="5">N203</f>
        <v>#N/A</v>
      </c>
      <c r="AE203" s="287" t="e">
        <f t="shared" si="5"/>
        <v>#N/A</v>
      </c>
      <c r="AF203" s="285"/>
      <c r="AG203" s="285"/>
      <c r="AH203" s="285"/>
      <c r="AI203" s="285"/>
      <c r="AJ203" s="285"/>
      <c r="AK203" s="285"/>
    </row>
    <row r="204" spans="1:37">
      <c r="A204" s="151" t="str">
        <f>$A$82</f>
        <v>U/L Chord  (RT)</v>
      </c>
      <c r="B204" s="114" t="e">
        <f>$B$82</f>
        <v>#N/A</v>
      </c>
      <c r="C204" s="17" t="e">
        <f>$C$82</f>
        <v>#N/A</v>
      </c>
      <c r="D204" s="23" t="e">
        <f>$J$58</f>
        <v>#N/A</v>
      </c>
      <c r="E204" s="81" t="e">
        <f>$K$58</f>
        <v>#N/A</v>
      </c>
      <c r="F204" s="81" t="e">
        <f>$L$58</f>
        <v>#N/A</v>
      </c>
      <c r="G204" s="3" t="e">
        <f>IF(OR(D204="Compression",D204="Dead"),"N/A",IF(C204="N/A","N/A",IF(OR(E204="No",F204="Yes"),"N/A",ABS(MAX(G58:H58)))))</f>
        <v>#N/A</v>
      </c>
      <c r="H204" s="64" t="e">
        <f>IF(D204="Compression","N/A",IF(C204="N/A","N/A",IF(OR(E204="No",F204="Yes"),"N/A",0.5*$E$82*LOOKUP($C$41,'Info Tables'!$A$553:$A$592,'Info Tables'!$D$553:$D$592))))</f>
        <v>#N/A</v>
      </c>
      <c r="I204" s="64" t="e">
        <f>IF(D204="Compression","N/A",IF(C204="N/A","N/A",IF(OR(E204="No",F204="Yes"),"N/A",0.5*$E$82*LOOKUP($C$41,'Info Tables'!$A$603:$A$642,'Info Tables'!$D$603:$D$642))))</f>
        <v>#N/A</v>
      </c>
      <c r="J204" s="65" t="e">
        <f>IF(D204="Compression","N/A",IF(C204="N/A","N/A",IF(OR(E204="No",F204="Yes"),"N/A",$I$147*LOOKUP($C$41,'Info Tables'!$A$453:$A$492,'Info Tables'!$D$453:$D$492))))</f>
        <v>#N/A</v>
      </c>
      <c r="K204" s="65" t="e">
        <f>IF(D204="Compression","N/A",IF(C204="N/A","N/A",IF(OR(E204="No",F204="Yes"),"N/A",$I$147*(LOOKUP($C$41,'Info Tables'!$A$492:$A$503,'Info Tables'!$D$492:$D$503)))))</f>
        <v>#N/A</v>
      </c>
      <c r="L204" s="63" t="e">
        <f>IF(OR(D204="Compression",D204="Dead"),"N/A",IF(C204="N/A","N/A",IF(OR(E204="No",F204="Yes"),"N/A",(($B$197*H204)+($B$196*K204)))))</f>
        <v>#N/A</v>
      </c>
      <c r="M204" s="63" t="e">
        <f>IF(OR(D204="Compression",D204="Dead"),"N/A",IF(C204="N/A","N/A",IF(OR(E204="No",F204="Yes"),"N/A",(($B$198*I204)+($B$195*J204)))))</f>
        <v>#N/A</v>
      </c>
      <c r="N204" s="24" t="e">
        <f>IF(OR(D204="Compression",D204="Dead"),"N/A",IF(OR(C204="N/A",G204=0),"N/A",IF(OR(E204="No",F204="Yes"),"N/A",IF(MIN(L204:M204)&gt;=(G204/2),"OK","NG"))))</f>
        <v>#N/A</v>
      </c>
      <c r="O204" s="61" t="e">
        <f>IF(OR(D204="Compression",D204="Dead"),"N/A",IF(OR(C204="N/A",G204=0),"N/A",IF(OR(E204="No",F204="Yes"),"N/A",MIN(L204/(G204/2),M204/(G204/2)))))</f>
        <v>#N/A</v>
      </c>
      <c r="P204" s="112"/>
      <c r="Q204" s="112"/>
      <c r="R204" s="112"/>
      <c r="S204" s="112"/>
      <c r="T204" s="112"/>
      <c r="U204" s="112"/>
      <c r="V204" s="112"/>
      <c r="W204" s="112"/>
      <c r="X204" s="112"/>
      <c r="Y204" s="147"/>
      <c r="Z204" s="279"/>
      <c r="AC204" s="285" t="e">
        <f>IF(OR(AD204="NG",AE204="NG",AF204="NG",AG204="NG",AH204="NG"),1,0)</f>
        <v>#N/A</v>
      </c>
      <c r="AD204" s="286" t="e">
        <f t="shared" si="5"/>
        <v>#N/A</v>
      </c>
      <c r="AE204" s="287" t="e">
        <f t="shared" si="5"/>
        <v>#N/A</v>
      </c>
      <c r="AF204" s="285"/>
      <c r="AG204" s="285"/>
      <c r="AH204" s="285"/>
      <c r="AI204" s="285"/>
      <c r="AJ204" s="285"/>
      <c r="AK204" s="285"/>
    </row>
    <row r="205" spans="1:37">
      <c r="A205" s="151" t="str">
        <f>$A$83</f>
        <v>Diagonal (LT)</v>
      </c>
      <c r="B205" s="114" t="e">
        <f>$B$83</f>
        <v>#N/A</v>
      </c>
      <c r="C205" s="17" t="e">
        <f>$C$83</f>
        <v>#N/A</v>
      </c>
      <c r="D205" s="23" t="e">
        <f>$J$59</f>
        <v>#N/A</v>
      </c>
      <c r="E205" s="81" t="e">
        <f>$K$59</f>
        <v>#N/A</v>
      </c>
      <c r="F205" s="81" t="e">
        <f>$L$59</f>
        <v>#N/A</v>
      </c>
      <c r="G205" s="3" t="e">
        <f>IF(OR(D205="Compression",D205="Dead"),"N/A",IF(C205="N/A","N/A",IF(OR(E205="No",F205="Yes"),"N/A",ABS(MAX(G59:H59)))))</f>
        <v>#N/A</v>
      </c>
      <c r="H205" s="64" t="e">
        <f>IF(D205="Compression","N/A",IF(C205="N/A","N/A",IF(OR(E205="No",F205="Yes"),"N/A",$E$83*LOOKUP($C$41,'Info Tables'!$A$553:$A$592,'Info Tables'!$E$553:$E$592))))</f>
        <v>#N/A</v>
      </c>
      <c r="I205" s="64" t="e">
        <f>IF(D205="Compression","N/A",IF(C205="N/A","N/A",IF(OR(E205="No",F205="Yes"),"N/A",$E$83*LOOKUP($C$41,'Info Tables'!$A$603:$A$642,'Info Tables'!$E$603:$E$642))))</f>
        <v>#N/A</v>
      </c>
      <c r="J205" s="65" t="e">
        <f>IF(D205="Compression","N/A",IF(C205="N/A","N/A",IF(OR(E205="No",F205="Yes"),"N/A",$I$148*LOOKUP($C$41,'Info Tables'!$A$453:$A$492,'Info Tables'!$E$453:$E$492))))</f>
        <v>#N/A</v>
      </c>
      <c r="K205" s="65" t="e">
        <f>IF(D205="Compression","N/A",IF(C205="N/A","N/A",IF(OR(E205="No",F205="Yes"),"N/A",$I$148*(LOOKUP($C$41,'Info Tables'!$A$492:$A$503,'Info Tables'!$E$492:$E$503)))))</f>
        <v>#N/A</v>
      </c>
      <c r="L205" s="63" t="e">
        <f>IF(OR(D205="Compression",D205="Dead"),"N/A",IF(C205="N/A","N/A",IF(OR(E205="No",F205="Yes"),"N/A",(($B$197*H205)+($B$196*K205)))))</f>
        <v>#N/A</v>
      </c>
      <c r="M205" s="63" t="e">
        <f>IF(OR(D205="Compression",D205="Dead"),"N/A",IF(C205="N/A","N/A",IF(OR(E205="No",F205="Yes"),"N/A",(($B$198*I205)+($B$195*J205)))))</f>
        <v>#N/A</v>
      </c>
      <c r="N205" s="24" t="e">
        <f>IF(OR(D205="Compression",D205="Dead"),"N/A",IF(OR(C205="N/A",G205=0),"N/A",IF(OR(E205="No",F205="Yes"),"N/A",IF(MIN(L205:M205)&gt;=(G205/2),"OK","NG"))))</f>
        <v>#N/A</v>
      </c>
      <c r="O205" s="61" t="e">
        <f>IF(OR(D205="Compression",D205="Dead"),"N/A",IF(OR(C205="N/A",G205=0),"N/A",IF(OR(E205="No",F205="Yes"),"N/A",MIN(L205/(G205/2),M205/(G205/2)))))</f>
        <v>#N/A</v>
      </c>
      <c r="P205" s="112"/>
      <c r="Q205" s="112"/>
      <c r="R205" s="112"/>
      <c r="S205" s="112"/>
      <c r="T205" s="112"/>
      <c r="U205" s="112"/>
      <c r="V205" s="112"/>
      <c r="W205" s="112"/>
      <c r="X205" s="112"/>
      <c r="Y205" s="147"/>
      <c r="Z205" s="279"/>
      <c r="AC205" s="285" t="e">
        <f>IF(OR(AD205="NG",AE205="NG",AF205="NG",AG205="NG",AH205="NG"),1,0)</f>
        <v>#N/A</v>
      </c>
      <c r="AD205" s="286" t="e">
        <f t="shared" si="5"/>
        <v>#N/A</v>
      </c>
      <c r="AE205" s="287" t="e">
        <f t="shared" si="5"/>
        <v>#N/A</v>
      </c>
      <c r="AF205" s="285"/>
      <c r="AG205" s="285"/>
      <c r="AH205" s="285"/>
      <c r="AI205" s="285"/>
      <c r="AJ205" s="285"/>
      <c r="AK205" s="285"/>
    </row>
    <row r="206" spans="1:37">
      <c r="A206" s="151" t="str">
        <f>$A$84</f>
        <v>Diagonal (RT)</v>
      </c>
      <c r="B206" s="114" t="e">
        <f>$B$84</f>
        <v>#N/A</v>
      </c>
      <c r="C206" s="17" t="e">
        <f>$C$84</f>
        <v>#N/A</v>
      </c>
      <c r="D206" s="23" t="e">
        <f>$J$60</f>
        <v>#N/A</v>
      </c>
      <c r="E206" s="81" t="e">
        <f>$K$60</f>
        <v>#N/A</v>
      </c>
      <c r="F206" s="81" t="e">
        <f>$L$60</f>
        <v>#N/A</v>
      </c>
      <c r="G206" s="3" t="e">
        <f>IF(D206="Compression","N/A",IF(C206="N/A","N/A",IF(OR(E206="No",F206="Yes"),"N/A",ABS(MAX(G60:H60)))))</f>
        <v>#N/A</v>
      </c>
      <c r="H206" s="64" t="e">
        <f>IF(D206="Compression","N/A",IF(C206="N/A","N/A",IF(OR(E206="No",F206="Yes"),"N/A",$E$84*LOOKUP($C$41,'Info Tables'!$A$553:$A$592,'Info Tables'!$F$553:$F$592))))</f>
        <v>#N/A</v>
      </c>
      <c r="I206" s="64" t="e">
        <f>IF(D206="Compression","N/A",IF(C206="N/A","N/A",IF(OR(E206="No",F206="Yes"),"N/A",$E$84*LOOKUP($C$41,'Info Tables'!$A$603:$A$642,'Info Tables'!$F$603:$F$642))))</f>
        <v>#N/A</v>
      </c>
      <c r="J206" s="65" t="e">
        <f>IF(D206="Compression","N/A",IF(C206="N/A","N/A",IF(OR(E206="No",F206="Yes"),"N/A",$I$149*LOOKUP($C$41,'Info Tables'!$A$453:$A$492,'Info Tables'!$F$453:$F$492))))</f>
        <v>#N/A</v>
      </c>
      <c r="K206" s="65" t="e">
        <f>IF(D206="Compression","N/A",IF(C206="N/A","N/A",IF(OR(E206="No",F206="Yes"),"N/A",$I$149*(LOOKUP($C$41,'Info Tables'!$A$492:$A$503,'Info Tables'!$F$492:$F$503)))))</f>
        <v>#N/A</v>
      </c>
      <c r="L206" s="63" t="e">
        <f>IF(OR(D206="Compression",D206="Dead"),"N/A",IF(C206="N/A","N/A",IF(OR(E206="No",F206="Yes"),"N/A",(($B$197*H206)+($B$196*K206)))))</f>
        <v>#N/A</v>
      </c>
      <c r="M206" s="63" t="e">
        <f>IF(OR(D206="Compression",D206="Dead"),"N/A",IF(C206="N/A","N/A",IF(OR(E206="No",F206="Yes"),"N/A",(($B$198*I206)+($B$195*J206)))))</f>
        <v>#N/A</v>
      </c>
      <c r="N206" s="24" t="e">
        <f>IF(OR(D206="Compression",D206="Dead"),"N/A",IF(OR(C206="N/A",G206=0),"N/A",IF(OR(E206="No",F206="Yes"),"N/A",IF(MIN(L206:M206)&gt;=(G206/2),"OK","NG"))))</f>
        <v>#N/A</v>
      </c>
      <c r="O206" s="61" t="e">
        <f>IF(OR(D206="Compression",D206="Dead"),"N/A",IF(OR(C206="N/A",G206=0),"N/A",IF(OR(E206="No",F206="Yes"),"N/A",MIN(L206/(G206/2),M206/(G206/2)))))</f>
        <v>#N/A</v>
      </c>
      <c r="P206" s="112"/>
      <c r="Q206" s="112"/>
      <c r="R206" s="112"/>
      <c r="S206" s="112"/>
      <c r="T206" s="112"/>
      <c r="U206" s="112"/>
      <c r="V206" s="112"/>
      <c r="W206" s="112"/>
      <c r="X206" s="112"/>
      <c r="Y206" s="147"/>
      <c r="Z206" s="279"/>
      <c r="AC206" s="285" t="e">
        <f>IF(OR(AD206="NG",AE206="NG",AF206="NG",AG206="NG",AH206="NG"),1,0)</f>
        <v>#N/A</v>
      </c>
      <c r="AD206" s="286" t="e">
        <f t="shared" si="5"/>
        <v>#N/A</v>
      </c>
      <c r="AE206" s="287" t="e">
        <f t="shared" si="5"/>
        <v>#N/A</v>
      </c>
      <c r="AF206" s="285"/>
      <c r="AG206" s="285"/>
      <c r="AH206" s="285"/>
      <c r="AI206" s="285"/>
      <c r="AJ206" s="285"/>
      <c r="AK206" s="285"/>
    </row>
    <row r="207" spans="1:37">
      <c r="A207" s="151" t="str">
        <f>$A$85</f>
        <v>Vertical</v>
      </c>
      <c r="B207" s="114" t="e">
        <f>$B$85</f>
        <v>#N/A</v>
      </c>
      <c r="C207" s="17" t="e">
        <f>$C$85</f>
        <v>#N/A</v>
      </c>
      <c r="D207" s="23" t="e">
        <f>$J$61</f>
        <v>#N/A</v>
      </c>
      <c r="E207" s="81" t="e">
        <f>$K$61</f>
        <v>#N/A</v>
      </c>
      <c r="F207" s="81" t="e">
        <f>$L$61</f>
        <v>#N/A</v>
      </c>
      <c r="G207" s="3" t="e">
        <f>IF(OR(D207="Compression",D207="Dead"),"N/A",IF(C207="N/A","N/A",IF(OR(E207="No",F207="Yes"),"N/A",ABS(MAX(G61:H61)))))</f>
        <v>#N/A</v>
      </c>
      <c r="H207" s="64" t="e">
        <f>IF(D207="Compression","N/A",IF(C207="N/A","N/A",IF(OR(E207="No",F207="Yes"),"N/A",$E$85*LOOKUP($C$41,'Info Tables'!$A$553:$A$592,'Info Tables'!$G$553:$G$592))))</f>
        <v>#N/A</v>
      </c>
      <c r="I207" s="64" t="e">
        <f>IF(D207="Compression","N/A",IF(C207="N/A","N/A",IF(OR(E207="No",F207="Yes"),"N/A",$E$85*LOOKUP($C$41,'Info Tables'!$A$603:$A$642,'Info Tables'!$G$603:$G$642))))</f>
        <v>#N/A</v>
      </c>
      <c r="J207" s="65" t="e">
        <f>IF(D207="Compression","N/A",IF(C207="N/A","N/A",IF(OR(E207="No",F207="Yes"),"N/A",$I$150*LOOKUP($C$41,'Info Tables'!$A$453:$A$492,'Info Tables'!$G$453:$G$492))))</f>
        <v>#N/A</v>
      </c>
      <c r="K207" s="65" t="e">
        <f>IF(D207="Compression","N/A",IF(C207="N/A","N/A",IF(OR(E207="No",F207="Yes"),"N/A",$I$150*(LOOKUP($C$41,'Info Tables'!$A$492:$A$503,'Info Tables'!$G$492:$G$503)))))</f>
        <v>#N/A</v>
      </c>
      <c r="L207" s="63" t="e">
        <f>IF(OR(D207="Compression",D207="Dead"),"N/A",IF(C207="N/A","N/A",IF(OR(E207="No",F207="Yes"),"N/A",(($B$197*H207)+($B$196*K207)))))</f>
        <v>#N/A</v>
      </c>
      <c r="M207" s="63" t="e">
        <f>IF(OR(D207="Compression",D207="Dead"),"N/A",IF(C207="N/A","N/A",IF(OR(E207="No",F207="Yes"),"N/A",(($B$198*I207)+($B$195*J207)))))</f>
        <v>#N/A</v>
      </c>
      <c r="N207" s="24" t="e">
        <f>IF(OR(D207="Compression",D207="Dead"),"N/A",IF(OR(C207="N/A",G207=0),"N/A",IF(OR(E207="No",F207="Yes"),"N/A",IF(MIN(L207:M207)&gt;=(G207/2),"OK","NG"))))</f>
        <v>#N/A</v>
      </c>
      <c r="O207" s="61" t="e">
        <f>IF(OR(D207="Compression",D207="Dead"),"N/A",IF(OR(C207="N/A",G207=0),"N/A",IF(OR(E207="No",F207="Yes"),"N/A",MIN(L207/(G207/2),M207/(G207/2)))))</f>
        <v>#N/A</v>
      </c>
      <c r="P207" s="112"/>
      <c r="Q207" s="112"/>
      <c r="R207" s="112"/>
      <c r="S207" s="112"/>
      <c r="T207" s="112"/>
      <c r="U207" s="112"/>
      <c r="V207" s="112"/>
      <c r="W207" s="112"/>
      <c r="X207" s="112"/>
      <c r="Y207" s="147"/>
      <c r="Z207" s="279"/>
      <c r="AC207" s="285" t="e">
        <f>IF(OR(AD207="NG",AE207="NG",AF207="NG",AG207="NG",AH207="NG"),1,0)</f>
        <v>#N/A</v>
      </c>
      <c r="AD207" s="286" t="e">
        <f t="shared" si="5"/>
        <v>#N/A</v>
      </c>
      <c r="AE207" s="287" t="e">
        <f t="shared" si="5"/>
        <v>#N/A</v>
      </c>
      <c r="AF207" s="285"/>
      <c r="AG207" s="285"/>
      <c r="AH207" s="285"/>
      <c r="AI207" s="285"/>
      <c r="AJ207" s="285"/>
      <c r="AK207" s="285"/>
    </row>
    <row r="208" spans="1:37">
      <c r="A208" s="112"/>
      <c r="B208" s="112"/>
      <c r="C208" s="112"/>
      <c r="D208" s="112"/>
      <c r="E208" s="112"/>
      <c r="F208" s="112"/>
      <c r="G208" s="112"/>
      <c r="H208" s="112"/>
      <c r="I208" s="100" t="s">
        <v>369</v>
      </c>
      <c r="J208" s="112"/>
      <c r="K208" s="112"/>
      <c r="L208" s="112"/>
      <c r="M208" s="112"/>
      <c r="N208" s="112"/>
      <c r="O208" s="112"/>
      <c r="P208" s="112"/>
      <c r="Q208" s="112"/>
      <c r="R208" s="112"/>
      <c r="S208" s="112"/>
      <c r="T208" s="112"/>
      <c r="U208" s="112"/>
      <c r="V208" s="112"/>
      <c r="W208" s="112"/>
      <c r="X208" s="112"/>
      <c r="Y208" s="147"/>
      <c r="Z208" s="279"/>
      <c r="AC208" s="285"/>
      <c r="AD208" s="286"/>
      <c r="AE208" s="285"/>
      <c r="AF208" s="285"/>
      <c r="AG208" s="285"/>
      <c r="AH208" s="285"/>
      <c r="AI208" s="285"/>
      <c r="AJ208" s="285"/>
      <c r="AK208" s="285"/>
    </row>
    <row r="209" spans="1:37">
      <c r="A209" s="112"/>
      <c r="B209" s="112"/>
      <c r="C209" s="112"/>
      <c r="D209" s="112"/>
      <c r="E209" s="112"/>
      <c r="F209" s="112"/>
      <c r="G209" s="112"/>
      <c r="H209" s="112"/>
      <c r="I209" s="112"/>
      <c r="J209" s="112"/>
      <c r="K209" s="112"/>
      <c r="L209" s="112"/>
      <c r="M209" s="112"/>
      <c r="N209" s="112"/>
      <c r="O209" s="112"/>
      <c r="P209" s="112"/>
      <c r="Q209" s="112"/>
      <c r="R209" s="112"/>
      <c r="S209" s="112"/>
      <c r="T209" s="112"/>
      <c r="U209" s="112"/>
      <c r="V209" s="112"/>
      <c r="W209" s="112"/>
      <c r="X209" s="112"/>
      <c r="Y209" s="147"/>
      <c r="Z209" s="279"/>
      <c r="AC209" s="285"/>
      <c r="AD209" s="286"/>
      <c r="AE209" s="285"/>
      <c r="AF209" s="285"/>
      <c r="AG209" s="285"/>
      <c r="AH209" s="285"/>
      <c r="AI209" s="285"/>
      <c r="AJ209" s="285"/>
      <c r="AK209" s="285"/>
    </row>
    <row r="210" spans="1:37">
      <c r="A210" s="62" t="s">
        <v>91</v>
      </c>
      <c r="B210" s="112"/>
      <c r="C210" s="112"/>
      <c r="D210" s="112"/>
      <c r="E210" s="112"/>
      <c r="F210" s="112"/>
      <c r="G210" s="112"/>
      <c r="H210" s="411" t="s">
        <v>368</v>
      </c>
      <c r="I210" s="412"/>
      <c r="J210" s="409" t="s">
        <v>82</v>
      </c>
      <c r="K210" s="410"/>
      <c r="L210" s="112"/>
      <c r="M210" s="112"/>
      <c r="N210" s="112"/>
      <c r="O210" s="112"/>
      <c r="P210" s="112"/>
      <c r="Q210" s="112"/>
      <c r="R210" s="112"/>
      <c r="S210" s="112"/>
      <c r="T210" s="112"/>
      <c r="U210" s="112"/>
      <c r="V210" s="112"/>
      <c r="W210" s="112"/>
      <c r="X210" s="112"/>
      <c r="Y210" s="147"/>
      <c r="Z210" s="279"/>
      <c r="AC210" s="285"/>
      <c r="AD210" s="286"/>
      <c r="AE210" s="285"/>
      <c r="AF210" s="285"/>
      <c r="AG210" s="285"/>
      <c r="AH210" s="285"/>
      <c r="AI210" s="285"/>
      <c r="AJ210" s="285"/>
      <c r="AK210" s="285"/>
    </row>
    <row r="211" spans="1:37" ht="51">
      <c r="A211" s="5" t="s">
        <v>23</v>
      </c>
      <c r="B211" s="5" t="s">
        <v>25</v>
      </c>
      <c r="C211" s="48" t="s">
        <v>4</v>
      </c>
      <c r="D211" s="5" t="s">
        <v>64</v>
      </c>
      <c r="E211" s="80" t="s">
        <v>179</v>
      </c>
      <c r="F211" s="80" t="s">
        <v>180</v>
      </c>
      <c r="G211" s="2" t="s">
        <v>333</v>
      </c>
      <c r="H211" s="88" t="s">
        <v>335</v>
      </c>
      <c r="I211" s="88" t="s">
        <v>336</v>
      </c>
      <c r="J211" s="49" t="s">
        <v>337</v>
      </c>
      <c r="K211" s="49" t="s">
        <v>338</v>
      </c>
      <c r="L211" s="50" t="s">
        <v>370</v>
      </c>
      <c r="M211" s="50" t="s">
        <v>371</v>
      </c>
      <c r="N211" s="5" t="s">
        <v>372</v>
      </c>
      <c r="O211" s="49" t="s">
        <v>373</v>
      </c>
      <c r="P211" s="112"/>
      <c r="Q211" s="112"/>
      <c r="R211" s="112"/>
      <c r="S211" s="112"/>
      <c r="T211" s="112"/>
      <c r="U211" s="112"/>
      <c r="V211" s="112"/>
      <c r="W211" s="112"/>
      <c r="X211" s="112"/>
      <c r="Y211" s="147"/>
      <c r="Z211" s="279"/>
      <c r="AC211" s="285"/>
      <c r="AD211" s="286"/>
      <c r="AE211" s="285"/>
      <c r="AF211" s="285"/>
      <c r="AG211" s="285"/>
      <c r="AH211" s="285"/>
      <c r="AI211" s="285"/>
      <c r="AJ211" s="285"/>
      <c r="AK211" s="285"/>
    </row>
    <row r="212" spans="1:37">
      <c r="A212" s="151" t="str">
        <f>$A$81</f>
        <v>U/L Chord  (LT)</v>
      </c>
      <c r="B212" s="114" t="e">
        <f>$B$81</f>
        <v>#N/A</v>
      </c>
      <c r="C212" s="17" t="e">
        <f>$C$81</f>
        <v>#N/A</v>
      </c>
      <c r="D212" s="23" t="e">
        <f>$J$57</f>
        <v>#N/A</v>
      </c>
      <c r="E212" s="81" t="e">
        <f>$K$57</f>
        <v>#N/A</v>
      </c>
      <c r="F212" s="81" t="e">
        <f>$L$57</f>
        <v>#N/A</v>
      </c>
      <c r="G212" s="3" t="e">
        <f>IF(OR(D212="Compression",D212="Dead"),"N/A",G203)</f>
        <v>#N/A</v>
      </c>
      <c r="H212" s="64" t="e">
        <f>IF(D212="Compression","N/A",IF(C212="N/A","N/A",IF(OR(E212="No",F212="Yes"),"N/A",0.5*$G$81*LOOKUP($C$41,'Info Tables'!$A$553:$A$592,'Info Tables'!$C$553:$C$592))))</f>
        <v>#N/A</v>
      </c>
      <c r="I212" s="64" t="e">
        <f>IF(D212="Compression","N/A",IF(C212="N/A","N/A",IF(OR(E212="No",F212="Yes"),"N/A",0.5*$G$81*LOOKUP($C$41,'Info Tables'!$A$603:$A$642,'Info Tables'!$C$603:$C$642))))</f>
        <v>#N/A</v>
      </c>
      <c r="J212" s="65" t="e">
        <f>IF(D212="Compression","N/A",IF(C212="N/A","N/A",IF(OR(E212="No",F212="Yes"),"N/A",$J$146*LOOKUP($C$41,'Info Tables'!$A$453:$A$492,'Info Tables'!$C$453:$C$492))))</f>
        <v>#N/A</v>
      </c>
      <c r="K212" s="65" t="e">
        <f>IF(D212="Compression","N/A",IF(C212="N/A","N/A",IF(OR(E212="No",F212="Yes"),"N/A",$J$146*(LOOKUP($C$41,'Info Tables'!$A$492:$A$503,'Info Tables'!$C$492:$C$503)))))</f>
        <v>#N/A</v>
      </c>
      <c r="L212" s="63" t="e">
        <f>IF(D212="Compression","N/A",IF(C212="N/A","N/A",IF(OR(E212="No",F212="Yes"),"N/A",(($B$197*H212)+($B$196*K212)))))</f>
        <v>#N/A</v>
      </c>
      <c r="M212" s="63" t="e">
        <f>IF(D212="Compression","N/A",IF(C212="N/A","N/A",IF(OR(E212="No",F212="Yes"),"N/A",(($B$198*I212)+($B$195*J212)))))</f>
        <v>#N/A</v>
      </c>
      <c r="N212" s="24" t="e">
        <f>IF(OR(D212="Compression",D212="Dead"),"N/A",IF(OR(C212="N/A",G212=0),"N/A",IF(OR(E212="No",F212="Yes"),"N/A",IF(MIN(L212:M212)&gt;=G212/2,"OK","NG"))))</f>
        <v>#N/A</v>
      </c>
      <c r="O212" s="61" t="e">
        <f>IF(OR(D212="Compression",D212="Dead"),"N/A",IF(OR(C212="N/A",G212=0),"N/A",IF(OR(E212="No",F212="Yes"),"N/A",MIN(L212/(G212/2),M212/(G212/2)))))</f>
        <v>#N/A</v>
      </c>
      <c r="P212" s="112"/>
      <c r="Q212" s="112"/>
      <c r="R212" s="112"/>
      <c r="S212" s="112"/>
      <c r="T212" s="112"/>
      <c r="U212" s="112"/>
      <c r="V212" s="112"/>
      <c r="W212" s="112"/>
      <c r="X212" s="112"/>
      <c r="Y212" s="147"/>
      <c r="Z212" s="279"/>
      <c r="AC212" s="285" t="e">
        <f>IF(OR(AD212="NG",AE212="NG",AF212="NG",AG212="NG",AH212="NG"),1,0)</f>
        <v>#N/A</v>
      </c>
      <c r="AD212" s="286" t="e">
        <f t="shared" ref="AD212:AE216" si="6">N212</f>
        <v>#N/A</v>
      </c>
      <c r="AE212" s="287" t="e">
        <f t="shared" si="6"/>
        <v>#N/A</v>
      </c>
      <c r="AF212" s="285"/>
      <c r="AG212" s="285"/>
      <c r="AH212" s="285"/>
      <c r="AI212" s="285"/>
      <c r="AJ212" s="285"/>
      <c r="AK212" s="285"/>
    </row>
    <row r="213" spans="1:37">
      <c r="A213" s="151" t="str">
        <f>$A$82</f>
        <v>U/L Chord  (RT)</v>
      </c>
      <c r="B213" s="114" t="e">
        <f>$B$82</f>
        <v>#N/A</v>
      </c>
      <c r="C213" s="17" t="e">
        <f>$C$82</f>
        <v>#N/A</v>
      </c>
      <c r="D213" s="23" t="e">
        <f>$J$58</f>
        <v>#N/A</v>
      </c>
      <c r="E213" s="81" t="e">
        <f>$K$58</f>
        <v>#N/A</v>
      </c>
      <c r="F213" s="81" t="e">
        <f>$L$58</f>
        <v>#N/A</v>
      </c>
      <c r="G213" s="3" t="e">
        <f>IF(OR(D213="Compression",D213="Dead"),"N/A",G204)</f>
        <v>#N/A</v>
      </c>
      <c r="H213" s="64" t="e">
        <f>IF(D213="Compression","N/A",IF(C213="N/A","N/A",IF(OR(E213="No",F213="Yes"),"N/A",0.5*$G$82*LOOKUP($C$41,'Info Tables'!$A$553:$A$592,'Info Tables'!$D$553:$D$592))))</f>
        <v>#N/A</v>
      </c>
      <c r="I213" s="64" t="e">
        <f>IF(D213="Compression","N/A",IF(C213="N/A","N/A",IF(OR(E213="No",F213="Yes"),"N/A",0.5*$G$82*LOOKUP($C$41,'Info Tables'!$A$603:$A$642,'Info Tables'!$D$603:$D$642))))</f>
        <v>#N/A</v>
      </c>
      <c r="J213" s="65" t="e">
        <f>IF(D213="Compression","N/A",IF(C213="N/A","N/A",IF(OR(E213="No",F213="Yes"),"N/A",$J$147*LOOKUP($C$41,'Info Tables'!$A$453:$A$492,'Info Tables'!$D$453:$D$492))))</f>
        <v>#N/A</v>
      </c>
      <c r="K213" s="65" t="e">
        <f>IF(D213="Compression","N/A",IF(C213="N/A","N/A",IF(OR(E213="No",F213="Yes"),"N/A",$J$147*(LOOKUP($C$41,'Info Tables'!$A$492:$A$503,'Info Tables'!$D$492:$D$503)))))</f>
        <v>#N/A</v>
      </c>
      <c r="L213" s="63" t="e">
        <f>IF(D213="Compression","N/A",IF(C213="N/A","N/A",IF(OR(E213="No",F213="Yes"),"N/A",(($B$197*H213)+($B$196*K213)))))</f>
        <v>#N/A</v>
      </c>
      <c r="M213" s="63" t="e">
        <f>IF(D213="Compression","N/A",IF(C213="N/A","N/A",IF(OR(E213="No",F213="Yes"),"N/A",(($B$198*I213)+($B$195*J213)))))</f>
        <v>#N/A</v>
      </c>
      <c r="N213" s="24" t="e">
        <f>IF(OR(D213="Compression",D213="Dead"),"N/A",IF(OR(C213="N/A",G213=0),"N/A",IF(OR(E213="No",F213="Yes"),"N/A",IF(MIN(L213:M213)&gt;=G213/2,"OK","NG"))))</f>
        <v>#N/A</v>
      </c>
      <c r="O213" s="61" t="e">
        <f>IF(OR(D213="Compression",D213="Dead"),"N/A",IF(OR(C213="N/A",G213=0),"N/A",IF(OR(E213="No",F213="Yes"),"N/A",MIN(L213/(G213/2),M213/(G213/2)))))</f>
        <v>#N/A</v>
      </c>
      <c r="P213" s="112"/>
      <c r="Q213" s="112"/>
      <c r="R213" s="112"/>
      <c r="S213" s="112"/>
      <c r="T213" s="112"/>
      <c r="U213" s="112"/>
      <c r="V213" s="112"/>
      <c r="W213" s="112"/>
      <c r="X213" s="112"/>
      <c r="Y213" s="147"/>
      <c r="Z213" s="279"/>
      <c r="AC213" s="285" t="e">
        <f>IF(OR(AD213="NG",AE213="NG",AF213="NG",AG213="NG",AH213="NG"),1,0)</f>
        <v>#N/A</v>
      </c>
      <c r="AD213" s="286" t="e">
        <f t="shared" si="6"/>
        <v>#N/A</v>
      </c>
      <c r="AE213" s="287" t="e">
        <f t="shared" si="6"/>
        <v>#N/A</v>
      </c>
      <c r="AF213" s="285"/>
      <c r="AG213" s="285"/>
      <c r="AH213" s="285"/>
      <c r="AI213" s="285"/>
      <c r="AJ213" s="285"/>
      <c r="AK213" s="285"/>
    </row>
    <row r="214" spans="1:37">
      <c r="A214" s="151" t="str">
        <f>$A$83</f>
        <v>Diagonal (LT)</v>
      </c>
      <c r="B214" s="114" t="e">
        <f>$B$83</f>
        <v>#N/A</v>
      </c>
      <c r="C214" s="17" t="e">
        <f>$C$83</f>
        <v>#N/A</v>
      </c>
      <c r="D214" s="23" t="e">
        <f>$J$59</f>
        <v>#N/A</v>
      </c>
      <c r="E214" s="81" t="e">
        <f>$K$59</f>
        <v>#N/A</v>
      </c>
      <c r="F214" s="81" t="e">
        <f>$L$59</f>
        <v>#N/A</v>
      </c>
      <c r="G214" s="3" t="e">
        <f>IF(OR(D214="Compression",D214="Dead"),"N/A",G205)</f>
        <v>#N/A</v>
      </c>
      <c r="H214" s="64" t="e">
        <f>IF(D214="Compression","N/A",IF(C214="N/A","N/A",IF(OR(E214="No",F214="Yes"),"N/A",$G$83*LOOKUP($C$41,'Info Tables'!$A$553:$A$592,'Info Tables'!$E$553:$E$592))))</f>
        <v>#N/A</v>
      </c>
      <c r="I214" s="64" t="e">
        <f>IF(D214="Compression","N/A",IF(C214="N/A","N/A",IF(OR(E214="No",F214="Yes"),"N/A",$G$83*LOOKUP($C$41,'Info Tables'!$A$603:$A$642,'Info Tables'!$E$603:$E$642))))</f>
        <v>#N/A</v>
      </c>
      <c r="J214" s="65" t="e">
        <f>IF(D214="Compression","N/A",IF(C214="N/A","N/A",IF(OR(E214="No",F214="Yes"),"N/A",$J$148*LOOKUP($C$41,'Info Tables'!$A$453:$A$492,'Info Tables'!$E$453:$E$492))))</f>
        <v>#N/A</v>
      </c>
      <c r="K214" s="65" t="e">
        <f>IF(D214="Compression","N/A",IF(C214="N/A","N/A",IF(OR(E214="No",F214="Yes"),"N/A",$J$148*(LOOKUP($C$41,'Info Tables'!$A$492:$A$503,'Info Tables'!$E$492:$E$503)))))</f>
        <v>#N/A</v>
      </c>
      <c r="L214" s="63" t="e">
        <f>IF(D214="Compression","N/A",IF(C214="N/A","N/A",IF(OR(E214="No",F214="Yes"),"N/A",(($B$197*H214)+($B$196*K214)))))</f>
        <v>#N/A</v>
      </c>
      <c r="M214" s="63" t="e">
        <f>IF(D214="Compression","N/A",IF(C214="N/A","N/A",IF(OR(E214="No",F214="Yes"),"N/A",(($B$198*I214)+($B$195*J214)))))</f>
        <v>#N/A</v>
      </c>
      <c r="N214" s="24" t="e">
        <f>IF(OR(D214="Compression",D214="Dead"),"N/A",IF(OR(C214="N/A",G214=0),"N/A",IF(OR(E214="No",F214="Yes"),"N/A",IF(MIN(L214:M214)&gt;=G214/2,"OK","NG"))))</f>
        <v>#N/A</v>
      </c>
      <c r="O214" s="61" t="e">
        <f>IF(OR(D214="Compression",D214="Dead"),"N/A",IF(OR(C214="N/A",G214=0),"N/A",IF(OR(E214="No",F214="Yes"),"N/A",MIN(L214/(G214/2),M214/(G214/2)))))</f>
        <v>#N/A</v>
      </c>
      <c r="P214" s="112"/>
      <c r="Q214" s="112"/>
      <c r="R214" s="112"/>
      <c r="S214" s="112"/>
      <c r="T214" s="112"/>
      <c r="U214" s="112"/>
      <c r="V214" s="112"/>
      <c r="W214" s="112"/>
      <c r="X214" s="112"/>
      <c r="Y214" s="147"/>
      <c r="Z214" s="279"/>
      <c r="AC214" s="285" t="e">
        <f>IF(OR(AD214="NG",AE214="NG",AF214="NG",AG214="NG",AH214="NG"),1,0)</f>
        <v>#N/A</v>
      </c>
      <c r="AD214" s="286" t="e">
        <f t="shared" si="6"/>
        <v>#N/A</v>
      </c>
      <c r="AE214" s="287" t="e">
        <f t="shared" si="6"/>
        <v>#N/A</v>
      </c>
      <c r="AF214" s="285"/>
      <c r="AG214" s="285"/>
      <c r="AH214" s="285"/>
      <c r="AI214" s="285"/>
      <c r="AJ214" s="285"/>
      <c r="AK214" s="285"/>
    </row>
    <row r="215" spans="1:37">
      <c r="A215" s="151" t="str">
        <f>$A$84</f>
        <v>Diagonal (RT)</v>
      </c>
      <c r="B215" s="114" t="e">
        <f>$B$84</f>
        <v>#N/A</v>
      </c>
      <c r="C215" s="17" t="e">
        <f>$C$84</f>
        <v>#N/A</v>
      </c>
      <c r="D215" s="23" t="e">
        <f>$J$60</f>
        <v>#N/A</v>
      </c>
      <c r="E215" s="81" t="e">
        <f>$K$60</f>
        <v>#N/A</v>
      </c>
      <c r="F215" s="81" t="e">
        <f>$L$60</f>
        <v>#N/A</v>
      </c>
      <c r="G215" s="3" t="e">
        <f>IF(OR(D215="Compression",D215="Dead"),"N/A",G206)</f>
        <v>#N/A</v>
      </c>
      <c r="H215" s="64" t="e">
        <f>IF(D215="Compression","N/A",IF(C215="N/A","N/A",IF(OR(E215="No",F215="Yes"),"N/A",$G$84*LOOKUP($C$41,'Info Tables'!$A$553:$A$592,'Info Tables'!$F$553:$F$592))))</f>
        <v>#N/A</v>
      </c>
      <c r="I215" s="64" t="e">
        <f>IF(D215="Compression","N/A",IF(C215="N/A","N/A",IF(OR(E215="No",F215="Yes"),"N/A",$G$84*LOOKUP($C$41,'Info Tables'!$A$603:$A$642,'Info Tables'!$F$603:$F$642))))</f>
        <v>#N/A</v>
      </c>
      <c r="J215" s="65" t="e">
        <f>IF(D215="Compression","N/A",IF(C215="N/A","N/A",IF(OR(E215="No",F215="Yes"),"N/A",$J$149*LOOKUP($C$41,'Info Tables'!$A$453:$A$492,'Info Tables'!$F$453:$F$492))))</f>
        <v>#N/A</v>
      </c>
      <c r="K215" s="65" t="e">
        <f>IF(D215="Compression","N/A",IF(C215="N/A","N/A",IF(OR(E215="No",F215="Yes"),"N/A",$J$149*(LOOKUP($C$41,'Info Tables'!$A$492:$A$503,'Info Tables'!$F$492:$F$503)))))</f>
        <v>#N/A</v>
      </c>
      <c r="L215" s="63" t="e">
        <f>IF(D215="Compression","N/A",IF(C215="N/A","N/A",IF(OR(E215="No",F215="Yes"),"N/A",(($B$197*H215)+($B$196*K215)))))</f>
        <v>#N/A</v>
      </c>
      <c r="M215" s="63" t="e">
        <f>IF(D215="Compression","N/A",IF(C215="N/A","N/A",IF(OR(E215="No",F215="Yes"),"N/A",(($B$198*I215)+($B$195*J215)))))</f>
        <v>#N/A</v>
      </c>
      <c r="N215" s="24" t="e">
        <f>IF(OR(D215="Compression",D215="Dead"),"N/A",IF(OR(C215="N/A",G215=0),"N/A",IF(OR(E215="No",F215="Yes"),"N/A",IF(MIN(L215:M215)&gt;=G215/2,"OK","NG"))))</f>
        <v>#N/A</v>
      </c>
      <c r="O215" s="61" t="e">
        <f>IF(OR(D215="Compression",D215="Dead"),"N/A",IF(OR(C215="N/A",G215=0),"N/A",IF(OR(E215="No",F215="Yes"),"N/A",MIN(L215/(G215/2),M215/(G215/2)))))</f>
        <v>#N/A</v>
      </c>
      <c r="P215" s="112"/>
      <c r="Q215" s="112"/>
      <c r="R215" s="112"/>
      <c r="S215" s="112"/>
      <c r="T215" s="112"/>
      <c r="U215" s="112"/>
      <c r="V215" s="112"/>
      <c r="W215" s="112"/>
      <c r="X215" s="112"/>
      <c r="Y215" s="147"/>
      <c r="Z215" s="279"/>
      <c r="AC215" s="285" t="e">
        <f>IF(OR(AD215="NG",AE215="NG",AF215="NG",AG215="NG",AH215="NG"),1,0)</f>
        <v>#N/A</v>
      </c>
      <c r="AD215" s="286" t="e">
        <f t="shared" si="6"/>
        <v>#N/A</v>
      </c>
      <c r="AE215" s="287" t="e">
        <f t="shared" si="6"/>
        <v>#N/A</v>
      </c>
      <c r="AF215" s="285"/>
      <c r="AG215" s="285"/>
      <c r="AH215" s="285"/>
      <c r="AI215" s="285"/>
      <c r="AJ215" s="285"/>
      <c r="AK215" s="285"/>
    </row>
    <row r="216" spans="1:37">
      <c r="A216" s="151" t="str">
        <f>$A$85</f>
        <v>Vertical</v>
      </c>
      <c r="B216" s="114" t="e">
        <f>$B$85</f>
        <v>#N/A</v>
      </c>
      <c r="C216" s="17" t="e">
        <f>$C$85</f>
        <v>#N/A</v>
      </c>
      <c r="D216" s="23" t="e">
        <f>$J$61</f>
        <v>#N/A</v>
      </c>
      <c r="E216" s="81" t="e">
        <f>$K$61</f>
        <v>#N/A</v>
      </c>
      <c r="F216" s="81" t="e">
        <f>$L$61</f>
        <v>#N/A</v>
      </c>
      <c r="G216" s="3" t="e">
        <f>IF(OR(D216="Compression",D216="Dead"),"N/A",G207)</f>
        <v>#N/A</v>
      </c>
      <c r="H216" s="64" t="e">
        <f>IF(D216="Compression","N/A",IF(C216="N/A","N/A",IF(OR(E216="No",F216="Yes"),"N/A",$G$85*LOOKUP($C$41,'Info Tables'!$A$553:$A$592,'Info Tables'!$G$553:$G$592))))</f>
        <v>#N/A</v>
      </c>
      <c r="I216" s="64" t="e">
        <f>IF(D216="Compression","N/A",IF(C216="N/A","N/A",IF(OR(E216="No",F216="Yes"),"N/A",$G$85*LOOKUP($C$41,'Info Tables'!$A$603:$A$642,'Info Tables'!$G$603:$G$642))))</f>
        <v>#N/A</v>
      </c>
      <c r="J216" s="65" t="e">
        <f>IF(D216="Compression","N/A",IF(C216="N/A","N/A",IF(OR(E216="No",F216="Yes"),"N/A",$J$150*LOOKUP($C$41,'Info Tables'!$A$453:$A$492,'Info Tables'!$G$453:$G$492))))</f>
        <v>#N/A</v>
      </c>
      <c r="K216" s="65" t="e">
        <f>IF(D216="Compression","N/A",IF(C216="N/A","N/A",IF(OR(E216="No",F216="Yes"),"N/A",$J$150*(LOOKUP($C$41,'Info Tables'!$A$492:$A$503,'Info Tables'!$G$492:$G$503)))))</f>
        <v>#N/A</v>
      </c>
      <c r="L216" s="63" t="e">
        <f>IF(D216="Compression","N/A",IF(C216="N/A","N/A",IF(OR(E216="No",F216="Yes"),"N/A",(($B$197*H216)+($B$196*K216)))))</f>
        <v>#N/A</v>
      </c>
      <c r="M216" s="63" t="e">
        <f>IF(D216="Compression","N/A",IF(C216="N/A","N/A",IF(OR(E216="No",F216="Yes"),"N/A",(($B$198*I216)+($B$195*J216)))))</f>
        <v>#N/A</v>
      </c>
      <c r="N216" s="24" t="e">
        <f>IF(OR(D216="Compression",D216="Dead"),"N/A",IF(OR(C216="N/A",G216=0),"N/A",IF(OR(E216="No",F216="Yes"),"N/A",IF(MIN(L216:M216)&gt;=G216/2,"OK","NG"))))</f>
        <v>#N/A</v>
      </c>
      <c r="O216" s="61" t="e">
        <f>IF(OR(D216="Compression",D216="Dead"),"N/A",IF(OR(C216="N/A",G216=0),"N/A",IF(OR(E216="No",F216="Yes"),"N/A",MIN(L216/(G216/2),M216/(G216/2)))))</f>
        <v>#N/A</v>
      </c>
      <c r="P216" s="112"/>
      <c r="Q216" s="112"/>
      <c r="R216" s="112"/>
      <c r="S216" s="112"/>
      <c r="T216" s="112"/>
      <c r="U216" s="112"/>
      <c r="V216" s="112"/>
      <c r="W216" s="112"/>
      <c r="X216" s="112"/>
      <c r="Y216" s="147"/>
      <c r="Z216" s="279"/>
      <c r="AC216" s="285" t="e">
        <f>IF(OR(AD216="NG",AE216="NG",AF216="NG",AG216="NG",AH216="NG"),1,0)</f>
        <v>#N/A</v>
      </c>
      <c r="AD216" s="286" t="e">
        <f t="shared" si="6"/>
        <v>#N/A</v>
      </c>
      <c r="AE216" s="287" t="e">
        <f t="shared" si="6"/>
        <v>#N/A</v>
      </c>
      <c r="AF216" s="285"/>
      <c r="AG216" s="285"/>
      <c r="AH216" s="285"/>
      <c r="AI216" s="285"/>
      <c r="AJ216" s="285"/>
      <c r="AK216" s="285"/>
    </row>
    <row r="217" spans="1:37">
      <c r="A217" s="112"/>
      <c r="B217" s="112"/>
      <c r="C217" s="112"/>
      <c r="D217" s="112"/>
      <c r="E217" s="112"/>
      <c r="F217" s="112"/>
      <c r="G217" s="100"/>
      <c r="H217" s="112"/>
      <c r="I217" s="100" t="s">
        <v>369</v>
      </c>
      <c r="J217" s="112"/>
      <c r="K217" s="112"/>
      <c r="L217" s="112"/>
      <c r="M217" s="112"/>
      <c r="N217" s="112"/>
      <c r="O217" s="112"/>
      <c r="P217" s="112"/>
      <c r="Q217" s="112"/>
      <c r="R217" s="112"/>
      <c r="S217" s="112"/>
      <c r="T217" s="112"/>
      <c r="U217" s="112"/>
      <c r="V217" s="112"/>
      <c r="W217" s="112"/>
      <c r="X217" s="112"/>
      <c r="Y217" s="147"/>
      <c r="Z217" s="279"/>
      <c r="AC217" s="285"/>
      <c r="AD217" s="286"/>
      <c r="AE217" s="285"/>
      <c r="AF217" s="285"/>
      <c r="AG217" s="285"/>
      <c r="AH217" s="285"/>
      <c r="AI217" s="285"/>
      <c r="AJ217" s="285"/>
      <c r="AK217" s="285"/>
    </row>
    <row r="218" spans="1:37">
      <c r="A218" s="112"/>
      <c r="B218" s="112"/>
      <c r="C218" s="112"/>
      <c r="D218" s="112"/>
      <c r="E218" s="112"/>
      <c r="F218" s="112"/>
      <c r="G218" s="100"/>
      <c r="H218" s="112"/>
      <c r="I218" s="112"/>
      <c r="J218" s="112"/>
      <c r="K218" s="112"/>
      <c r="L218" s="112"/>
      <c r="M218" s="112"/>
      <c r="N218" s="112"/>
      <c r="O218" s="112"/>
      <c r="P218" s="112"/>
      <c r="Q218" s="112"/>
      <c r="R218" s="112"/>
      <c r="S218" s="112"/>
      <c r="T218" s="112"/>
      <c r="U218" s="112"/>
      <c r="V218" s="112"/>
      <c r="W218" s="112"/>
      <c r="X218" s="112"/>
      <c r="Y218" s="147"/>
      <c r="Z218" s="279"/>
      <c r="AC218" s="285"/>
      <c r="AD218" s="286"/>
      <c r="AE218" s="285"/>
      <c r="AF218" s="285"/>
      <c r="AG218" s="285"/>
      <c r="AH218" s="285"/>
      <c r="AI218" s="285"/>
      <c r="AJ218" s="285"/>
      <c r="AK218" s="285"/>
    </row>
    <row r="219" spans="1:37">
      <c r="A219" s="95" t="s">
        <v>421</v>
      </c>
      <c r="B219" s="112"/>
      <c r="C219" s="112"/>
      <c r="D219" s="112"/>
      <c r="E219" s="112"/>
      <c r="F219" s="112"/>
      <c r="G219" s="112"/>
      <c r="H219" s="112"/>
      <c r="I219" s="112"/>
      <c r="J219" s="112"/>
      <c r="K219" s="112"/>
      <c r="L219" s="112"/>
      <c r="M219" s="112"/>
      <c r="N219" s="112"/>
      <c r="O219" s="112"/>
      <c r="P219" s="112"/>
      <c r="Q219" s="112"/>
      <c r="R219" s="112"/>
      <c r="S219" s="112"/>
      <c r="T219" s="112"/>
      <c r="U219" s="112"/>
      <c r="V219" s="112"/>
      <c r="W219" s="112"/>
      <c r="X219" s="112"/>
      <c r="Y219" s="147"/>
      <c r="Z219" s="279"/>
      <c r="AC219" s="285"/>
      <c r="AD219" s="286"/>
      <c r="AE219" s="285"/>
      <c r="AF219" s="285"/>
      <c r="AG219" s="285"/>
      <c r="AH219" s="285"/>
      <c r="AI219" s="285"/>
      <c r="AJ219" s="285"/>
      <c r="AK219" s="285"/>
    </row>
    <row r="220" spans="1:37" ht="57.75" customHeight="1">
      <c r="A220" s="220" t="s">
        <v>23</v>
      </c>
      <c r="B220" s="220" t="s">
        <v>25</v>
      </c>
      <c r="C220" s="221" t="s">
        <v>4</v>
      </c>
      <c r="D220" s="220" t="s">
        <v>64</v>
      </c>
      <c r="E220" s="50" t="s">
        <v>375</v>
      </c>
      <c r="F220" s="50" t="s">
        <v>374</v>
      </c>
      <c r="G220" s="220" t="s">
        <v>378</v>
      </c>
      <c r="H220" s="220" t="s">
        <v>376</v>
      </c>
      <c r="I220" s="220" t="s">
        <v>377</v>
      </c>
      <c r="J220" s="381" t="s">
        <v>332</v>
      </c>
      <c r="K220" s="112"/>
      <c r="L220" s="112"/>
      <c r="M220" s="112"/>
      <c r="N220" s="112"/>
      <c r="O220" s="112"/>
      <c r="P220" s="112"/>
      <c r="Q220" s="112"/>
      <c r="R220" s="112"/>
      <c r="S220" s="112"/>
      <c r="T220" s="112"/>
      <c r="U220" s="112"/>
      <c r="V220" s="112"/>
      <c r="W220" s="112"/>
      <c r="X220" s="112"/>
      <c r="Y220" s="147"/>
      <c r="Z220" s="279"/>
      <c r="AB220" s="286" t="s">
        <v>410</v>
      </c>
      <c r="AC220" s="285"/>
      <c r="AD220" s="286"/>
      <c r="AE220" s="285"/>
      <c r="AF220" s="285"/>
      <c r="AG220" s="285"/>
      <c r="AH220" s="285"/>
      <c r="AI220" s="285"/>
      <c r="AJ220" s="285"/>
      <c r="AK220" s="285"/>
    </row>
    <row r="221" spans="1:37">
      <c r="A221" s="222" t="str">
        <f>$A$81</f>
        <v>U/L Chord  (LT)</v>
      </c>
      <c r="B221" s="223" t="e">
        <f>$B$81</f>
        <v>#N/A</v>
      </c>
      <c r="C221" s="224" t="e">
        <f>$C$81</f>
        <v>#N/A</v>
      </c>
      <c r="D221" s="225" t="e">
        <f>$J$57</f>
        <v>#N/A</v>
      </c>
      <c r="E221" s="23" t="e">
        <f>IF(G212="N/A","N/A",L203+L212)</f>
        <v>#N/A</v>
      </c>
      <c r="F221" s="23" t="e">
        <f>IF(OR(H212="N/A",D221="Dead"),"N/A",M203+M212)</f>
        <v>#N/A</v>
      </c>
      <c r="G221" s="225" t="e">
        <f>IF(F221="N/A","N/A",MIN(E221,F221))</f>
        <v>#N/A</v>
      </c>
      <c r="H221" s="225" t="e">
        <f>IF(F221="N/A","N/A",ABS($D$57))</f>
        <v>#N/A</v>
      </c>
      <c r="I221" s="225" t="e">
        <f>IF(C221="N/A","N/A",MAX(ABS($E$57),ABS($F$57)))</f>
        <v>#N/A</v>
      </c>
      <c r="J221" s="382" t="e">
        <f>IF(G221="N/A","N/A",(G221-H221)/I221)</f>
        <v>#N/A</v>
      </c>
      <c r="K221" s="112"/>
      <c r="L221" s="112"/>
      <c r="M221" s="112"/>
      <c r="N221" s="112"/>
      <c r="O221" s="112"/>
      <c r="P221" s="112"/>
      <c r="Q221" s="112"/>
      <c r="R221" s="112"/>
      <c r="S221" s="112"/>
      <c r="T221" s="112"/>
      <c r="U221" s="112"/>
      <c r="V221" s="112"/>
      <c r="W221" s="112"/>
      <c r="X221" s="112"/>
      <c r="Y221" s="147"/>
      <c r="Z221" s="279"/>
      <c r="AB221" s="286" t="e">
        <f>J221</f>
        <v>#N/A</v>
      </c>
      <c r="AC221" s="285"/>
      <c r="AD221" s="286"/>
      <c r="AE221" s="285"/>
      <c r="AF221" s="285"/>
      <c r="AG221" s="285"/>
      <c r="AH221" s="285"/>
      <c r="AI221" s="285"/>
      <c r="AJ221" s="285"/>
      <c r="AK221" s="285"/>
    </row>
    <row r="222" spans="1:37">
      <c r="A222" s="222" t="str">
        <f>$A$82</f>
        <v>U/L Chord  (RT)</v>
      </c>
      <c r="B222" s="223" t="e">
        <f>$B$82</f>
        <v>#N/A</v>
      </c>
      <c r="C222" s="224" t="e">
        <f>$C$82</f>
        <v>#N/A</v>
      </c>
      <c r="D222" s="225" t="e">
        <f>$J$58</f>
        <v>#N/A</v>
      </c>
      <c r="E222" s="23" t="e">
        <f>IF(G213="N/A","N/A",L204+L213)</f>
        <v>#N/A</v>
      </c>
      <c r="F222" s="23" t="e">
        <f>IF(OR(H213="N/A",D222="Dead"),"N/A",M204+M213)</f>
        <v>#N/A</v>
      </c>
      <c r="G222" s="225" t="e">
        <f>IF(F222="N/A","N/A",MIN(E222,F222))</f>
        <v>#N/A</v>
      </c>
      <c r="H222" s="225" t="e">
        <f>IF(F222="N/A","N/A",ABS($D$58))</f>
        <v>#N/A</v>
      </c>
      <c r="I222" s="225" t="e">
        <f>IF(C222="N/A","N/A",MAX(ABS($E$58),ABS($F$58)))</f>
        <v>#N/A</v>
      </c>
      <c r="J222" s="382" t="e">
        <f>IF(G222="N/A","N/A",(G222-H222)/I222)</f>
        <v>#N/A</v>
      </c>
      <c r="K222" s="112"/>
      <c r="L222" s="112"/>
      <c r="M222" s="112"/>
      <c r="N222" s="112"/>
      <c r="O222" s="112"/>
      <c r="P222" s="112"/>
      <c r="Q222" s="112"/>
      <c r="R222" s="112"/>
      <c r="S222" s="112"/>
      <c r="T222" s="112"/>
      <c r="U222" s="112"/>
      <c r="V222" s="112"/>
      <c r="W222" s="112"/>
      <c r="X222" s="112"/>
      <c r="Y222" s="147"/>
      <c r="Z222" s="279"/>
      <c r="AB222" s="286" t="e">
        <f>J222</f>
        <v>#N/A</v>
      </c>
      <c r="AC222" s="285"/>
      <c r="AD222" s="286"/>
      <c r="AE222" s="285"/>
      <c r="AF222" s="285"/>
      <c r="AG222" s="285"/>
      <c r="AH222" s="285"/>
      <c r="AI222" s="285"/>
      <c r="AJ222" s="285"/>
      <c r="AK222" s="285"/>
    </row>
    <row r="223" spans="1:37">
      <c r="A223" s="222" t="str">
        <f>$A$83</f>
        <v>Diagonal (LT)</v>
      </c>
      <c r="B223" s="223" t="e">
        <f>$B$83</f>
        <v>#N/A</v>
      </c>
      <c r="C223" s="224" t="e">
        <f>$C$83</f>
        <v>#N/A</v>
      </c>
      <c r="D223" s="225" t="e">
        <f>$J$59</f>
        <v>#N/A</v>
      </c>
      <c r="E223" s="23" t="e">
        <f>IF(G214="N/A","N/A",L205+L214)</f>
        <v>#N/A</v>
      </c>
      <c r="F223" s="23" t="e">
        <f>IF(OR(H214="N/A",D223="Dead"),"N/A",M205+M214)</f>
        <v>#N/A</v>
      </c>
      <c r="G223" s="225" t="e">
        <f>IF(F223="N/A","N/A",MIN(E223,F223))</f>
        <v>#N/A</v>
      </c>
      <c r="H223" s="225" t="e">
        <f>IF(F223="N/A","N/A",ABS($D$59))</f>
        <v>#N/A</v>
      </c>
      <c r="I223" s="225" t="e">
        <f>IF(C223="N/A","N/A",MAX(ABS($E$59),ABS($F$59)))</f>
        <v>#N/A</v>
      </c>
      <c r="J223" s="382" t="e">
        <f>IF(G223="N/A","N/A",(G223-H223)/I223)</f>
        <v>#N/A</v>
      </c>
      <c r="K223" s="112"/>
      <c r="L223" s="112"/>
      <c r="M223" s="112"/>
      <c r="N223" s="112"/>
      <c r="O223" s="112"/>
      <c r="P223" s="112"/>
      <c r="Q223" s="112"/>
      <c r="R223" s="112"/>
      <c r="S223" s="112"/>
      <c r="T223" s="112"/>
      <c r="U223" s="112"/>
      <c r="V223" s="112"/>
      <c r="W223" s="112"/>
      <c r="X223" s="112"/>
      <c r="Y223" s="147"/>
      <c r="Z223" s="279"/>
      <c r="AB223" s="286" t="e">
        <f>J223</f>
        <v>#N/A</v>
      </c>
      <c r="AC223" s="285"/>
      <c r="AD223" s="286"/>
      <c r="AE223" s="285"/>
      <c r="AF223" s="285"/>
      <c r="AG223" s="285"/>
      <c r="AH223" s="285"/>
      <c r="AI223" s="285"/>
      <c r="AJ223" s="285"/>
      <c r="AK223" s="285"/>
    </row>
    <row r="224" spans="1:37">
      <c r="A224" s="222" t="str">
        <f>$A$84</f>
        <v>Diagonal (RT)</v>
      </c>
      <c r="B224" s="223" t="e">
        <f>$B$84</f>
        <v>#N/A</v>
      </c>
      <c r="C224" s="224" t="e">
        <f>$C$84</f>
        <v>#N/A</v>
      </c>
      <c r="D224" s="225" t="e">
        <f>$J$60</f>
        <v>#N/A</v>
      </c>
      <c r="E224" s="23" t="e">
        <f>IF(G215="N/A","N/A",L206+L215)</f>
        <v>#N/A</v>
      </c>
      <c r="F224" s="23" t="e">
        <f>IF(OR(H215="N/A",D224="Dead"),"N/A",M206+M215)</f>
        <v>#N/A</v>
      </c>
      <c r="G224" s="225" t="e">
        <f>IF(F224="N/A","N/A",MIN(E224,F224))</f>
        <v>#N/A</v>
      </c>
      <c r="H224" s="225" t="e">
        <f>IF(C224="N/A","N/A",ABS($D$60))</f>
        <v>#N/A</v>
      </c>
      <c r="I224" s="225" t="e">
        <f>IF(C224="N/A","N/A",MAX(ABS($E$60),ABS($F$60)))</f>
        <v>#N/A</v>
      </c>
      <c r="J224" s="382" t="e">
        <f>IF(G224="N/A","N/A",(G224-H224)/I224)</f>
        <v>#N/A</v>
      </c>
      <c r="K224" s="101"/>
      <c r="L224" s="112"/>
      <c r="M224" s="112"/>
      <c r="N224" s="112"/>
      <c r="O224" s="112"/>
      <c r="P224" s="112"/>
      <c r="Q224" s="112"/>
      <c r="R224" s="112"/>
      <c r="S224" s="112"/>
      <c r="T224" s="112"/>
      <c r="U224" s="112"/>
      <c r="V224" s="112"/>
      <c r="W224" s="112"/>
      <c r="X224" s="112"/>
      <c r="Y224" s="147"/>
      <c r="Z224" s="279"/>
      <c r="AB224" s="286" t="e">
        <f>J224</f>
        <v>#N/A</v>
      </c>
      <c r="AC224" s="285"/>
      <c r="AD224" s="286"/>
      <c r="AE224" s="285"/>
      <c r="AF224" s="285"/>
      <c r="AG224" s="285"/>
      <c r="AH224" s="285"/>
      <c r="AI224" s="285"/>
      <c r="AJ224" s="285"/>
      <c r="AK224" s="285"/>
    </row>
    <row r="225" spans="1:37">
      <c r="A225" s="222" t="str">
        <f>$A$85</f>
        <v>Vertical</v>
      </c>
      <c r="B225" s="223" t="e">
        <f>$B$85</f>
        <v>#N/A</v>
      </c>
      <c r="C225" s="224" t="e">
        <f>$C$85</f>
        <v>#N/A</v>
      </c>
      <c r="D225" s="225" t="e">
        <f>$J$61</f>
        <v>#N/A</v>
      </c>
      <c r="E225" s="23" t="e">
        <f>IF(G216="N/A","N/A",L207+L216)</f>
        <v>#N/A</v>
      </c>
      <c r="F225" s="23" t="e">
        <f>IF(OR(H216="N/A",D225="Dead"),"N/A",M207+M216)</f>
        <v>#N/A</v>
      </c>
      <c r="G225" s="225" t="e">
        <f>IF(F225="N/A","N/A",MIN(E225,F225))</f>
        <v>#N/A</v>
      </c>
      <c r="H225" s="225" t="e">
        <f>IF(C225="N/A","N/A",ABS($D$61))</f>
        <v>#N/A</v>
      </c>
      <c r="I225" s="225" t="e">
        <f>IF(C225="N/A","N/A",MAX(ABS($E$61),ABS($F$61)))</f>
        <v>#N/A</v>
      </c>
      <c r="J225" s="382" t="e">
        <f>IF(G225="N/A","N/A",(G225-H225)/I225)</f>
        <v>#N/A</v>
      </c>
      <c r="K225" s="101"/>
      <c r="L225" s="112"/>
      <c r="M225" s="112"/>
      <c r="N225" s="112"/>
      <c r="O225" s="112"/>
      <c r="P225" s="112"/>
      <c r="Q225" s="112"/>
      <c r="R225" s="112"/>
      <c r="S225" s="112"/>
      <c r="T225" s="112"/>
      <c r="U225" s="112"/>
      <c r="V225" s="112"/>
      <c r="W225" s="112"/>
      <c r="X225" s="112"/>
      <c r="Y225" s="147"/>
      <c r="Z225" s="279"/>
      <c r="AB225" s="286" t="e">
        <f>J225</f>
        <v>#N/A</v>
      </c>
      <c r="AC225" s="285"/>
      <c r="AD225" s="286"/>
      <c r="AE225" s="285"/>
      <c r="AF225" s="285"/>
      <c r="AG225" s="285"/>
      <c r="AH225" s="285"/>
      <c r="AI225" s="285"/>
      <c r="AJ225" s="285"/>
      <c r="AK225" s="285"/>
    </row>
    <row r="226" spans="1:37">
      <c r="A226" s="112"/>
      <c r="B226" s="112"/>
      <c r="C226" s="112"/>
      <c r="D226" s="112"/>
      <c r="E226" s="112"/>
      <c r="F226" s="112"/>
      <c r="G226" s="112"/>
      <c r="H226" s="100"/>
      <c r="I226" s="112"/>
      <c r="J226" s="112"/>
      <c r="K226" s="112"/>
      <c r="L226" s="112"/>
      <c r="M226" s="112"/>
      <c r="N226" s="112"/>
      <c r="O226" s="112"/>
      <c r="P226" s="112"/>
      <c r="Q226" s="112"/>
      <c r="R226" s="112"/>
      <c r="S226" s="112"/>
      <c r="T226" s="112"/>
      <c r="U226" s="112"/>
      <c r="V226" s="112"/>
      <c r="W226" s="112"/>
      <c r="X226" s="112"/>
      <c r="Y226" s="147"/>
      <c r="Z226" s="279"/>
      <c r="AC226" s="285"/>
      <c r="AD226" s="286"/>
      <c r="AE226" s="285"/>
      <c r="AF226" s="285"/>
      <c r="AG226" s="285"/>
      <c r="AH226" s="285"/>
      <c r="AI226" s="285"/>
      <c r="AJ226" s="285"/>
      <c r="AK226" s="285"/>
    </row>
    <row r="227" spans="1:37">
      <c r="A227" s="96"/>
      <c r="B227" s="32"/>
      <c r="C227" s="19"/>
      <c r="D227" s="33"/>
      <c r="E227" s="19"/>
      <c r="F227" s="19"/>
      <c r="G227" s="19"/>
      <c r="H227" s="19"/>
      <c r="I227" s="19"/>
      <c r="J227" s="34"/>
      <c r="K227" s="34"/>
      <c r="L227" s="35"/>
      <c r="M227" s="112"/>
      <c r="N227" s="112"/>
      <c r="O227" s="112"/>
      <c r="P227" s="112"/>
      <c r="Q227" s="112"/>
      <c r="R227" s="112"/>
      <c r="S227" s="112"/>
      <c r="T227" s="112"/>
      <c r="U227" s="112"/>
      <c r="V227" s="112"/>
      <c r="W227" s="112"/>
      <c r="X227" s="112"/>
      <c r="Y227" s="147"/>
      <c r="Z227" s="279"/>
      <c r="AC227" s="285"/>
      <c r="AD227" s="286"/>
      <c r="AE227" s="285"/>
      <c r="AF227" s="285"/>
      <c r="AG227" s="285"/>
      <c r="AH227" s="285"/>
      <c r="AI227" s="285"/>
      <c r="AJ227" s="285"/>
      <c r="AK227" s="285"/>
    </row>
    <row r="228" spans="1:37">
      <c r="A228" s="96"/>
      <c r="B228" s="32"/>
      <c r="C228" s="19"/>
      <c r="D228" s="33"/>
      <c r="E228" s="19"/>
      <c r="F228" s="19"/>
      <c r="G228" s="19"/>
      <c r="H228" s="19"/>
      <c r="I228" s="19"/>
      <c r="J228" s="34"/>
      <c r="K228" s="34"/>
      <c r="L228" s="35"/>
      <c r="M228" s="112"/>
      <c r="N228" s="112"/>
      <c r="O228" s="112"/>
      <c r="P228" s="112"/>
      <c r="Q228" s="112"/>
      <c r="R228" s="112"/>
      <c r="S228" s="112"/>
      <c r="T228" s="112"/>
      <c r="U228" s="112"/>
      <c r="V228" s="112"/>
      <c r="W228" s="112"/>
      <c r="X228" s="112"/>
      <c r="Y228" s="147"/>
      <c r="Z228" s="279"/>
      <c r="AC228" s="285"/>
      <c r="AD228" s="286"/>
      <c r="AE228" s="285"/>
      <c r="AF228" s="285"/>
      <c r="AG228" s="285"/>
      <c r="AH228" s="285"/>
      <c r="AI228" s="285"/>
      <c r="AJ228" s="285"/>
      <c r="AK228" s="285"/>
    </row>
    <row r="229" spans="1:37">
      <c r="A229" s="96"/>
      <c r="B229" s="32"/>
      <c r="C229" s="19"/>
      <c r="D229" s="33"/>
      <c r="E229" s="19"/>
      <c r="F229" s="19"/>
      <c r="G229" s="19"/>
      <c r="H229" s="19"/>
      <c r="I229" s="19"/>
      <c r="J229" s="34"/>
      <c r="K229" s="34"/>
      <c r="L229" s="35"/>
      <c r="M229" s="112"/>
      <c r="N229" s="112"/>
      <c r="O229" s="112"/>
      <c r="P229" s="112"/>
      <c r="Q229" s="112"/>
      <c r="R229" s="112"/>
      <c r="S229" s="112"/>
      <c r="T229" s="112"/>
      <c r="U229" s="112"/>
      <c r="V229" s="112"/>
      <c r="W229" s="112"/>
      <c r="X229" s="112"/>
      <c r="Y229" s="147"/>
      <c r="Z229" s="279"/>
      <c r="AC229" s="285"/>
      <c r="AD229" s="286"/>
      <c r="AE229" s="285"/>
      <c r="AF229" s="285"/>
      <c r="AG229" s="285"/>
      <c r="AH229" s="285"/>
      <c r="AI229" s="285"/>
      <c r="AJ229" s="285"/>
      <c r="AK229" s="285"/>
    </row>
    <row r="230" spans="1:37">
      <c r="A230" s="93" t="s">
        <v>438</v>
      </c>
      <c r="B230" s="112"/>
      <c r="C230" s="112"/>
      <c r="D230" s="112"/>
      <c r="E230" s="112"/>
      <c r="F230" s="112"/>
      <c r="G230" s="112"/>
      <c r="H230" s="112"/>
      <c r="I230" s="112"/>
      <c r="J230" s="112"/>
      <c r="K230" s="112"/>
      <c r="L230" s="112"/>
      <c r="M230" s="112"/>
      <c r="N230" s="112"/>
      <c r="O230" s="112"/>
      <c r="P230" s="112"/>
      <c r="Q230" s="112"/>
      <c r="R230" s="112"/>
      <c r="S230" s="112"/>
      <c r="T230" s="112"/>
      <c r="U230" s="112"/>
      <c r="V230" s="112"/>
      <c r="W230" s="112"/>
      <c r="X230" s="112"/>
      <c r="Y230" s="147"/>
      <c r="Z230" s="279"/>
      <c r="AA230" s="288" t="e">
        <f>MIN(AB245:AB249)</f>
        <v>#N/A</v>
      </c>
      <c r="AB230" s="282" t="e">
        <f>MIN(AE235:AE239)</f>
        <v>#N/A</v>
      </c>
      <c r="AC230" s="283" t="e">
        <f>IF(SUM(AC235:AC239)=0,"OK","NG")</f>
        <v>#N/A</v>
      </c>
      <c r="AD230" s="284" t="str">
        <f>A230</f>
        <v>6: Members Tear Out (Block Shear)</v>
      </c>
      <c r="AE230" s="285"/>
      <c r="AF230" s="285"/>
      <c r="AG230" s="285"/>
      <c r="AH230" s="285"/>
      <c r="AI230" s="285"/>
      <c r="AJ230" s="285"/>
      <c r="AK230" s="285"/>
    </row>
    <row r="231" spans="1:37">
      <c r="A231" s="102"/>
      <c r="B231" s="44"/>
      <c r="C231" s="101"/>
      <c r="D231" s="112"/>
      <c r="E231" s="112"/>
      <c r="F231" s="112"/>
      <c r="G231" s="112"/>
      <c r="H231" s="112"/>
      <c r="I231" s="112"/>
      <c r="J231" s="112"/>
      <c r="K231" s="112"/>
      <c r="L231" s="112"/>
      <c r="M231" s="112"/>
      <c r="N231" s="112"/>
      <c r="O231" s="112"/>
      <c r="P231" s="112"/>
      <c r="Q231" s="112"/>
      <c r="R231" s="112"/>
      <c r="S231" s="112"/>
      <c r="T231" s="112"/>
      <c r="U231" s="112"/>
      <c r="V231" s="112"/>
      <c r="W231" s="112"/>
      <c r="X231" s="112"/>
      <c r="Y231" s="147"/>
      <c r="Z231" s="279"/>
      <c r="AB231" s="282"/>
      <c r="AC231" s="283"/>
      <c r="AD231" s="284"/>
      <c r="AE231" s="285"/>
      <c r="AF231" s="285"/>
      <c r="AG231" s="285"/>
      <c r="AH231" s="285"/>
      <c r="AI231" s="285"/>
      <c r="AJ231" s="285"/>
      <c r="AK231" s="285"/>
    </row>
    <row r="232" spans="1:37">
      <c r="A232" s="112"/>
      <c r="B232" s="112"/>
      <c r="C232" s="112"/>
      <c r="D232" s="112"/>
      <c r="E232" s="112"/>
      <c r="F232" s="112"/>
      <c r="G232" s="112"/>
      <c r="H232" s="112"/>
      <c r="I232" s="112"/>
      <c r="J232" s="112"/>
      <c r="K232" s="112"/>
      <c r="L232" s="112"/>
      <c r="M232" s="112"/>
      <c r="N232" s="112"/>
      <c r="O232" s="112"/>
      <c r="P232" s="112"/>
      <c r="Q232" s="112"/>
      <c r="R232" s="112"/>
      <c r="S232" s="112"/>
      <c r="T232" s="112"/>
      <c r="U232" s="112"/>
      <c r="V232" s="112"/>
      <c r="W232" s="112"/>
      <c r="X232" s="112"/>
      <c r="Y232" s="147"/>
      <c r="Z232" s="279"/>
      <c r="AC232" s="285"/>
      <c r="AD232" s="286"/>
      <c r="AE232" s="285"/>
      <c r="AF232" s="285"/>
      <c r="AG232" s="285"/>
      <c r="AH232" s="285"/>
      <c r="AI232" s="285"/>
      <c r="AJ232" s="285"/>
      <c r="AK232" s="285"/>
    </row>
    <row r="233" spans="1:37">
      <c r="A233" s="62" t="s">
        <v>97</v>
      </c>
      <c r="B233" s="112"/>
      <c r="C233" s="112"/>
      <c r="D233" s="112"/>
      <c r="E233" s="112"/>
      <c r="F233" s="30"/>
      <c r="G233" s="30"/>
      <c r="H233" s="30"/>
      <c r="I233" s="411" t="s">
        <v>81</v>
      </c>
      <c r="J233" s="412"/>
      <c r="K233" s="409" t="s">
        <v>82</v>
      </c>
      <c r="L233" s="410"/>
      <c r="M233" s="112"/>
      <c r="N233" s="112"/>
      <c r="O233" s="112"/>
      <c r="P233" s="112"/>
      <c r="Q233" s="112"/>
      <c r="R233" s="112"/>
      <c r="S233" s="112"/>
      <c r="T233" s="112"/>
      <c r="U233" s="112"/>
      <c r="V233" s="112"/>
      <c r="W233" s="112"/>
      <c r="X233" s="112"/>
      <c r="Y233" s="147"/>
      <c r="Z233" s="279"/>
      <c r="AC233" s="285"/>
      <c r="AD233" s="284"/>
      <c r="AE233" s="285"/>
      <c r="AF233" s="285"/>
      <c r="AG233" s="285"/>
      <c r="AH233" s="285"/>
      <c r="AI233" s="285"/>
      <c r="AJ233" s="285"/>
      <c r="AK233" s="285"/>
    </row>
    <row r="234" spans="1:37" ht="69" customHeight="1">
      <c r="A234" s="5" t="s">
        <v>23</v>
      </c>
      <c r="B234" s="5" t="s">
        <v>25</v>
      </c>
      <c r="C234" s="48" t="s">
        <v>4</v>
      </c>
      <c r="D234" s="5" t="s">
        <v>64</v>
      </c>
      <c r="E234" s="80" t="s">
        <v>179</v>
      </c>
      <c r="F234" s="80" t="s">
        <v>180</v>
      </c>
      <c r="G234" s="2" t="s">
        <v>333</v>
      </c>
      <c r="H234" s="50" t="s">
        <v>334</v>
      </c>
      <c r="I234" s="88" t="s">
        <v>341</v>
      </c>
      <c r="J234" s="88" t="s">
        <v>340</v>
      </c>
      <c r="K234" s="49" t="s">
        <v>343</v>
      </c>
      <c r="L234" s="49" t="s">
        <v>342</v>
      </c>
      <c r="M234" s="50" t="s">
        <v>370</v>
      </c>
      <c r="N234" s="50" t="s">
        <v>379</v>
      </c>
      <c r="O234" s="5" t="s">
        <v>372</v>
      </c>
      <c r="P234" s="49" t="s">
        <v>373</v>
      </c>
      <c r="Q234" s="112"/>
      <c r="R234" s="112"/>
      <c r="S234" s="112"/>
      <c r="T234" s="112"/>
      <c r="U234" s="112"/>
      <c r="V234" s="112"/>
      <c r="W234" s="112"/>
      <c r="X234" s="112"/>
      <c r="Y234" s="147"/>
      <c r="Z234" s="279"/>
      <c r="AC234" s="285"/>
      <c r="AD234" s="284"/>
      <c r="AE234" s="285"/>
      <c r="AF234" s="285"/>
      <c r="AG234" s="285"/>
      <c r="AH234" s="285"/>
      <c r="AI234" s="285"/>
      <c r="AJ234" s="285"/>
      <c r="AK234" s="285"/>
    </row>
    <row r="235" spans="1:37">
      <c r="A235" s="151" t="str">
        <f>$A$81</f>
        <v>U/L Chord  (LT)</v>
      </c>
      <c r="B235" s="114" t="e">
        <f>$B$81</f>
        <v>#N/A</v>
      </c>
      <c r="C235" s="17" t="e">
        <f>$C$81</f>
        <v>#N/A</v>
      </c>
      <c r="D235" s="23" t="e">
        <f>IF(E235="No","N/A",$J$57)</f>
        <v>#N/A</v>
      </c>
      <c r="E235" s="81" t="e">
        <f>$K$57</f>
        <v>#N/A</v>
      </c>
      <c r="F235" s="81" t="e">
        <f>$L$57</f>
        <v>#N/A</v>
      </c>
      <c r="G235" s="3" t="e">
        <f>IF(D235="Compression","N/A",IF(C235="N/A","N/A",IF(OR(E235="No",F235="Yes"),"N/A",ABS(MAX(G57:H57)))))</f>
        <v>#N/A</v>
      </c>
      <c r="H235" s="63" t="e">
        <f>IF(D235="Compression","N/A",IF(C235="N/A","N/A",IF(OR(E235="No",F235="Yes"),"N/A",K146)))</f>
        <v>#N/A</v>
      </c>
      <c r="I235" s="64" t="e">
        <f>IF(D235="Compression","N/A",IF(C235="N/A","N/A",IF(OR(E235="No",F235="Yes"),"N/A",H235*LOOKUP($C$41,'Info Tables'!$A$553:$A$592,'Info Tables'!$C$553:$C$592))))</f>
        <v>#N/A</v>
      </c>
      <c r="J235" s="64" t="e">
        <f>IF(D235="Compression","N/A",IF(C235="N/A","N/A",IF(OR(E235="No",F235="Yes"),"N/A",H235*LOOKUP($C$41,'Info Tables'!$A$603:$A$642,'Info Tables'!$C$603:$C$642))))</f>
        <v>#N/A</v>
      </c>
      <c r="K235" s="65" t="e">
        <f>IF(D235="Compression","N/A",IF(C235="N/A","N/A",IF(OR(E235="No",F235="Yes"),"N/A",H235*LOOKUP($C$41,'Info Tables'!$A$453:$A$492,'Info Tables'!$C$453:$C$492))))</f>
        <v>#N/A</v>
      </c>
      <c r="L235" s="65" t="e">
        <f>IF(D235="Compression","N/A",IF(C235="N/A","N/A",IF(OR(E235="No",F235="Yes"),"N/A",H235*LOOKUP($C$41,'Info Tables'!$A$492:$A$503,'Info Tables'!$C$492:$C$503))))</f>
        <v>#N/A</v>
      </c>
      <c r="M235" s="227" t="e">
        <f>IF(D235="Compression","N/A",IF(C235="N/A","N/A",IF(OR(E235="No",F235="Yes"),"N/A",(($B$197*I235)+($B$196*L235)))))</f>
        <v>#N/A</v>
      </c>
      <c r="N235" s="227" t="e">
        <f>IF(D235="Compression","N/A",IF(C235="N/A","N/A",IF(OR(E235="No",F235="Yes"),"N/A",(($B$198*J235)+($B$195*K235)))))</f>
        <v>#N/A</v>
      </c>
      <c r="O235" s="24" t="e">
        <f>IF(D235="Compression","N/A",IF(OR(C235="N/A",G235=0),"N/A",IF(OR(E235="No",F235="Yes"),"N/A",IF(MIN(M235:N235)&gt;=G235,"OK","NG"))))</f>
        <v>#N/A</v>
      </c>
      <c r="P235" s="61" t="e">
        <f>IF(D235="Compression","N/A",IF(OR(C235="N/A",G235=0),"N/A",IF(OR(E235="No",F235="Yes"),"N/A",MIN(M235/G235,N235/G235))))</f>
        <v>#N/A</v>
      </c>
      <c r="Q235" s="112"/>
      <c r="R235" s="112"/>
      <c r="S235" s="112"/>
      <c r="T235" s="112"/>
      <c r="U235" s="112"/>
      <c r="V235" s="112"/>
      <c r="W235" s="112"/>
      <c r="X235" s="112"/>
      <c r="Y235" s="147"/>
      <c r="Z235" s="279"/>
      <c r="AC235" s="285" t="e">
        <f>IF(OR(AD235="NG",AE235="NG",AF235="NG",AG235="NG",AH235="NG"),1,0)</f>
        <v>#N/A</v>
      </c>
      <c r="AD235" s="286" t="e">
        <f t="shared" ref="AD235:AE239" si="7">O235</f>
        <v>#N/A</v>
      </c>
      <c r="AE235" s="287" t="e">
        <f t="shared" si="7"/>
        <v>#N/A</v>
      </c>
      <c r="AF235" s="285"/>
      <c r="AG235" s="285"/>
      <c r="AH235" s="285"/>
      <c r="AI235" s="285"/>
      <c r="AJ235" s="285"/>
      <c r="AK235" s="285"/>
    </row>
    <row r="236" spans="1:37">
      <c r="A236" s="151" t="str">
        <f>$A$82</f>
        <v>U/L Chord  (RT)</v>
      </c>
      <c r="B236" s="114" t="e">
        <f>$B$82</f>
        <v>#N/A</v>
      </c>
      <c r="C236" s="17" t="e">
        <f>$C$82</f>
        <v>#N/A</v>
      </c>
      <c r="D236" s="23" t="e">
        <f>IF(E236="No","N/A",$J$58)</f>
        <v>#N/A</v>
      </c>
      <c r="E236" s="81" t="e">
        <f>$K$58</f>
        <v>#N/A</v>
      </c>
      <c r="F236" s="81" t="e">
        <f>$L$58</f>
        <v>#N/A</v>
      </c>
      <c r="G236" s="3" t="e">
        <f>IF(D236="Compression","N/A",IF(C236="N/A","N/A",IF(OR(E236="No",F236="Yes"),"N/A",ABS(MAX(G58:H58)))))</f>
        <v>#N/A</v>
      </c>
      <c r="H236" s="63" t="e">
        <f>IF(D236="Compression","N/A",IF(C236="N/A","N/A",IF(OR(E236="No",F236="Yes"),"N/A",K147)))</f>
        <v>#N/A</v>
      </c>
      <c r="I236" s="64" t="e">
        <f>IF(D236="Compression","N/A",IF(C236="N/A","N/A",IF(OR(E236="No",F236="Yes"),"N/A",H236*LOOKUP($C$41,'Info Tables'!$A$553:$A$592,'Info Tables'!$D$553:$D$592))))</f>
        <v>#N/A</v>
      </c>
      <c r="J236" s="64" t="e">
        <f>IF(D236="Compression","N/A",IF(C236="N/A","N/A",IF(OR(E236="No",F236="Yes"),"N/A",H236*LOOKUP($C$41,'Info Tables'!$A$603:$A$642,'Info Tables'!$D$603:$D$642))))</f>
        <v>#N/A</v>
      </c>
      <c r="K236" s="65" t="e">
        <f>IF(D236="Compression","N/A",IF(C236="N/A","N/A",IF(OR(E236="No",F236="Yes"),"N/A",H236*LOOKUP($C$41,'Info Tables'!$A$453:$A$492,'Info Tables'!$D$453:$D$492))))</f>
        <v>#N/A</v>
      </c>
      <c r="L236" s="65" t="e">
        <f>IF(D236="Compression","N/A",IF(C236="N/A","N/A",IF(OR(E236="No",F236="Yes"),"N/A",H236*LOOKUP($C$41,'Info Tables'!$A$492:$A$503,'Info Tables'!$D$492:$D$503))))</f>
        <v>#N/A</v>
      </c>
      <c r="M236" s="227" t="e">
        <f>IF(D236="Compression","N/A",IF(C236="N/A","N/A",IF(OR(E236="No",F236="Yes"),"N/A",(($B$197*I236)+($B$196*L236)))))</f>
        <v>#N/A</v>
      </c>
      <c r="N236" s="227" t="e">
        <f>IF(D236="Compression","N/A",IF(C236="N/A","N/A",IF(OR(E236="No",F236="Yes"),"N/A",(($B$198*J236)+($B$195*K236)))))</f>
        <v>#N/A</v>
      </c>
      <c r="O236" s="24" t="e">
        <f>IF(D236="Compression","N/A",IF(OR(C236="N/A",G236=0),"N/A",IF(OR(E236="No",F236="Yes"),"N/A",IF(MIN(M236:N236)&gt;=G236,"OK","NG"))))</f>
        <v>#N/A</v>
      </c>
      <c r="P236" s="61" t="e">
        <f>IF(D236="Compression","N/A",IF(OR(C236="N/A",G236=0),"N/A",IF(OR(E236="No",F236="Yes"),"N/A",MIN(M236/G236,N236/G236))))</f>
        <v>#N/A</v>
      </c>
      <c r="Q236" s="112"/>
      <c r="R236" s="112"/>
      <c r="S236" s="112"/>
      <c r="T236" s="112"/>
      <c r="U236" s="112"/>
      <c r="V236" s="112"/>
      <c r="W236" s="112"/>
      <c r="X236" s="112"/>
      <c r="Y236" s="147"/>
      <c r="Z236" s="279"/>
      <c r="AC236" s="285" t="e">
        <f>IF(OR(AD236="NG",AE236="NG",AF236="NG",AG236="NG",AH236="NG"),1,0)</f>
        <v>#N/A</v>
      </c>
      <c r="AD236" s="286" t="e">
        <f t="shared" si="7"/>
        <v>#N/A</v>
      </c>
      <c r="AE236" s="287" t="e">
        <f t="shared" si="7"/>
        <v>#N/A</v>
      </c>
      <c r="AF236" s="285"/>
      <c r="AG236" s="285"/>
      <c r="AH236" s="285"/>
      <c r="AI236" s="285"/>
      <c r="AJ236" s="285"/>
      <c r="AK236" s="285"/>
    </row>
    <row r="237" spans="1:37">
      <c r="A237" s="151" t="str">
        <f>$A$83</f>
        <v>Diagonal (LT)</v>
      </c>
      <c r="B237" s="114" t="e">
        <f>$B$83</f>
        <v>#N/A</v>
      </c>
      <c r="C237" s="17" t="e">
        <f>$C$83</f>
        <v>#N/A</v>
      </c>
      <c r="D237" s="23" t="e">
        <f>$J$59</f>
        <v>#N/A</v>
      </c>
      <c r="E237" s="81" t="e">
        <f>$K$59</f>
        <v>#N/A</v>
      </c>
      <c r="F237" s="81" t="e">
        <f>$L$59</f>
        <v>#N/A</v>
      </c>
      <c r="G237" s="3" t="e">
        <f>IF(D237="Compression","N/A",IF(C237="N/A","N/A",IF(OR(E237="No",F237="Yes"),"N/A",ABS(MAX(G59:H59)))))</f>
        <v>#N/A</v>
      </c>
      <c r="H237" s="63" t="e">
        <f>IF(D237="Compression","N/A",IF(C237="N/A","N/A",IF(OR(E237="No",F237="Yes"),"N/A",K148)))</f>
        <v>#N/A</v>
      </c>
      <c r="I237" s="64" t="e">
        <f>IF(D237="Compression","N/A",IF(C237="N/A","N/A",IF(OR(E237="No",F237="Yes"),"N/A",H237*LOOKUP($C$41,'Info Tables'!$A$553:$A$592,'Info Tables'!$E$553:$E$592))))</f>
        <v>#N/A</v>
      </c>
      <c r="J237" s="64" t="e">
        <f>IF(D237="Compression","N/A",IF(C237="N/A","N/A",IF(OR(E237="No",F237="Yes"),"N/A",H237*LOOKUP($C$41,'Info Tables'!$A$603:$A$642,'Info Tables'!$E$603:$E$642))))</f>
        <v>#N/A</v>
      </c>
      <c r="K237" s="65" t="e">
        <f>IF(D237="Compression","N/A",IF(C237="N/A","N/A",IF(OR(E237="No",F237="Yes"),"N/A",H237*LOOKUP($C$41,'Info Tables'!$A$453:$A$492,'Info Tables'!$E$453:$E$492))))</f>
        <v>#N/A</v>
      </c>
      <c r="L237" s="65" t="e">
        <f>IF(D237="Compression","N/A",IF(C237="N/A","N/A",IF(OR(E237="No",F237="Yes"),"N/A",H237*LOOKUP($C$41,'Info Tables'!$A$492:$A$503,'Info Tables'!$E$492:$E$503))))</f>
        <v>#N/A</v>
      </c>
      <c r="M237" s="227" t="e">
        <f>IF(D237="Compression","N/A",IF(C237="N/A","N/A",IF(OR(E237="No",F237="Yes"),"N/A",(($B$197*I237)+($B$196*L237)))))</f>
        <v>#N/A</v>
      </c>
      <c r="N237" s="227" t="e">
        <f>IF(D237="Compression","N/A",IF(C237="N/A","N/A",IF(OR(E237="No",F237="Yes"),"N/A",(($B$198*J237)+($B$195*K237)))))</f>
        <v>#N/A</v>
      </c>
      <c r="O237" s="24" t="e">
        <f>IF(D237="Compression","N/A",IF(OR(C237="N/A",G237=0),"N/A",IF(OR(E237="No",F237="Yes"),"N/A",IF(MIN(M237:N237)&gt;=G237,"OK","NG"))))</f>
        <v>#N/A</v>
      </c>
      <c r="P237" s="61" t="e">
        <f>IF(D237="Compression","N/A",IF(OR(C237="N/A",G237=0),"N/A",IF(OR(E237="No",F237="Yes"),"N/A",MIN(M237/G237,N237/G237))))</f>
        <v>#N/A</v>
      </c>
      <c r="Q237" s="112"/>
      <c r="R237" s="112"/>
      <c r="S237" s="112"/>
      <c r="T237" s="112"/>
      <c r="U237" s="112"/>
      <c r="V237" s="112"/>
      <c r="W237" s="112"/>
      <c r="X237" s="112"/>
      <c r="Y237" s="147"/>
      <c r="Z237" s="279"/>
      <c r="AC237" s="285" t="e">
        <f>IF(OR(AD237="NG",AE237="NG",AF237="NG",AG237="NG",AH237="NG"),1,0)</f>
        <v>#N/A</v>
      </c>
      <c r="AD237" s="286" t="e">
        <f t="shared" si="7"/>
        <v>#N/A</v>
      </c>
      <c r="AE237" s="287" t="e">
        <f t="shared" si="7"/>
        <v>#N/A</v>
      </c>
      <c r="AF237" s="285"/>
      <c r="AG237" s="285"/>
      <c r="AH237" s="285"/>
      <c r="AI237" s="285"/>
      <c r="AJ237" s="285"/>
      <c r="AK237" s="285"/>
    </row>
    <row r="238" spans="1:37">
      <c r="A238" s="151" t="str">
        <f>$A$84</f>
        <v>Diagonal (RT)</v>
      </c>
      <c r="B238" s="114" t="e">
        <f>$B$84</f>
        <v>#N/A</v>
      </c>
      <c r="C238" s="17" t="e">
        <f>$C$84</f>
        <v>#N/A</v>
      </c>
      <c r="D238" s="23" t="e">
        <f>$J$60</f>
        <v>#N/A</v>
      </c>
      <c r="E238" s="81" t="e">
        <f>$K$60</f>
        <v>#N/A</v>
      </c>
      <c r="F238" s="81" t="e">
        <f>$L$60</f>
        <v>#N/A</v>
      </c>
      <c r="G238" s="3" t="e">
        <f>IF(D238="Compression","N/A",IF(C238="N/A","N/A",IF(OR(E238="No",F238="Yes"),"N/A",ABS(MAX(G60:H60)))))</f>
        <v>#N/A</v>
      </c>
      <c r="H238" s="63" t="e">
        <f>IF(D238="Compression","N/A",IF(C238="N/A","N/A",IF(OR(E238="No",F238="Yes"),"N/A",K149)))</f>
        <v>#N/A</v>
      </c>
      <c r="I238" s="64" t="e">
        <f>IF(D238="Compression","N/A",IF(C238="N/A","N/A",IF(OR(E238="No",F238="Yes"),"N/A",H238*LOOKUP($C$41,'Info Tables'!$A$553:$A$592,'Info Tables'!$F$553:$F$592))))</f>
        <v>#N/A</v>
      </c>
      <c r="J238" s="64" t="e">
        <f>IF(D238="Compression","N/A",IF(C238="N/A","N/A",IF(OR(E238="No",F238="Yes"),"N/A",H238*LOOKUP($C$41,'Info Tables'!$A$603:$A$642,'Info Tables'!$F$603:$F$642))))</f>
        <v>#N/A</v>
      </c>
      <c r="K238" s="65" t="e">
        <f>IF(D238="Compression","N/A",IF(C238="N/A","N/A",IF(OR(E238="No",F238="Yes"),"N/A",H238*LOOKUP($C$41,'Info Tables'!$A$453:$A$492,'Info Tables'!$F$453:$F$492))))</f>
        <v>#N/A</v>
      </c>
      <c r="L238" s="65" t="e">
        <f>IF(D238="Compression","N/A",IF(C238="N/A","N/A",IF(OR(E238="No",F238="Yes"),"N/A",H238*LOOKUP($C$41,'Info Tables'!$A$492:$A$503,'Info Tables'!$F$492:$F$503))))</f>
        <v>#N/A</v>
      </c>
      <c r="M238" s="227" t="e">
        <f>IF(D238="Compression","N/A",IF(C238="N/A","N/A",IF(OR(E238="No",F238="Yes"),"N/A",(($B$197*I238)+($B$196*L238)))))</f>
        <v>#N/A</v>
      </c>
      <c r="N238" s="227" t="e">
        <f>IF(D238="Compression","N/A",IF(C238="N/A","N/A",IF(OR(E238="No",F238="Yes"),"N/A",(($B$198*J238)+($B$195*K238)))))</f>
        <v>#N/A</v>
      </c>
      <c r="O238" s="24" t="e">
        <f>IF(D238="Compression","N/A",IF(OR(C238="N/A",G238=0),"N/A",IF(OR(E238="No",F238="Yes"),"N/A",IF(MIN(M238:N238)&gt;=G238,"OK","NG"))))</f>
        <v>#N/A</v>
      </c>
      <c r="P238" s="61" t="e">
        <f>IF(D238="Compression","N/A",IF(OR(C238="N/A",G238=0),"N/A",IF(OR(E238="No",F238="Yes"),"N/A",MIN(M238/G238,N238/G238))))</f>
        <v>#N/A</v>
      </c>
      <c r="Q238" s="112"/>
      <c r="R238" s="112"/>
      <c r="S238" s="112"/>
      <c r="T238" s="112"/>
      <c r="U238" s="112"/>
      <c r="V238" s="112"/>
      <c r="W238" s="112"/>
      <c r="X238" s="112"/>
      <c r="Y238" s="147"/>
      <c r="Z238" s="279"/>
      <c r="AC238" s="285" t="e">
        <f>IF(OR(AD238="NG",AE238="NG",AF238="NG",AG238="NG",AH238="NG"),1,0)</f>
        <v>#N/A</v>
      </c>
      <c r="AD238" s="286" t="e">
        <f t="shared" si="7"/>
        <v>#N/A</v>
      </c>
      <c r="AE238" s="287" t="e">
        <f t="shared" si="7"/>
        <v>#N/A</v>
      </c>
      <c r="AF238" s="285"/>
      <c r="AG238" s="285"/>
      <c r="AH238" s="285"/>
      <c r="AI238" s="285"/>
      <c r="AJ238" s="285"/>
      <c r="AK238" s="285"/>
    </row>
    <row r="239" spans="1:37">
      <c r="A239" s="151" t="str">
        <f>$A$85</f>
        <v>Vertical</v>
      </c>
      <c r="B239" s="114" t="e">
        <f>$B$85</f>
        <v>#N/A</v>
      </c>
      <c r="C239" s="17" t="e">
        <f>$C$85</f>
        <v>#N/A</v>
      </c>
      <c r="D239" s="23" t="e">
        <f>$J$61</f>
        <v>#N/A</v>
      </c>
      <c r="E239" s="81" t="e">
        <f>$K$61</f>
        <v>#N/A</v>
      </c>
      <c r="F239" s="81" t="e">
        <f>$L$61</f>
        <v>#N/A</v>
      </c>
      <c r="G239" s="3" t="e">
        <f>IF(D239="Compression","N/A",IF(C239="N/A","N/A",IF(OR(E239="No",F239="Yes"),"N/A",ABS(MAX(G61:H61)))))</f>
        <v>#N/A</v>
      </c>
      <c r="H239" s="63" t="e">
        <f>IF(D239="Compression","N/A",IF(C239="N/A","N/A",IF(OR(E239="No",F239="Yes"),"N/A",K150)))</f>
        <v>#N/A</v>
      </c>
      <c r="I239" s="64" t="e">
        <f>IF(D239="Compression","N/A",IF(C239="N/A","N/A",IF(OR(E239="No",F239="Yes"),"N/A",H239*LOOKUP($C$41,'Info Tables'!$A$553:$A$592,'Info Tables'!$G$553:$G$592))))</f>
        <v>#N/A</v>
      </c>
      <c r="J239" s="64" t="e">
        <f>IF(D239="Compression","N/A",IF(C239="N/A","N/A",IF(OR(E239="No",F239="Yes"),"N/A",H239*LOOKUP($C$41,'Info Tables'!$A$603:$A$642,'Info Tables'!$G$603:$G$642))))</f>
        <v>#N/A</v>
      </c>
      <c r="K239" s="65" t="e">
        <f>IF(D239="Compression","N/A",IF(C239="N/A","N/A",IF(OR(E239="No",F239="Yes"),"N/A",H239*LOOKUP($C$41,'Info Tables'!$A$453:$A$492,'Info Tables'!$G$453:$G$492))))</f>
        <v>#N/A</v>
      </c>
      <c r="L239" s="65" t="e">
        <f>IF(D239="Compression","N/A",IF(C239="N/A","N/A",IF(OR(E239="No",F239="Yes"),"N/A",H239*LOOKUP($C$41,'Info Tables'!$A$492:$A$503,'Info Tables'!$G$492:$G$503))))</f>
        <v>#N/A</v>
      </c>
      <c r="M239" s="227" t="e">
        <f>IF(D239="Compression","N/A",IF(C239="N/A","N/A",IF(OR(E239="No",F239="Yes"),"N/A",(($B$197*I239)+($B$196*L239)))))</f>
        <v>#N/A</v>
      </c>
      <c r="N239" s="227" t="e">
        <f>IF(D239="Compression","N/A",IF(C239="N/A","N/A",IF(OR(E239="No",F239="Yes"),"N/A",(($B$198*J239)+($B$195*K239)))))</f>
        <v>#N/A</v>
      </c>
      <c r="O239" s="24" t="e">
        <f>IF(D239="Compression","N/A",IF(OR(C239="N/A",G239=0),"N/A",IF(OR(E239="No",F239="Yes"),"N/A",IF(MIN(M239:N239)&gt;=G239,"OK","NG"))))</f>
        <v>#N/A</v>
      </c>
      <c r="P239" s="61" t="e">
        <f>IF(D239="Compression","N/A",IF(OR(C239="N/A",G239=0),"N/A",IF(OR(E239="No",F239="Yes"),"N/A",MIN(M239/G239,N239/G239))))</f>
        <v>#N/A</v>
      </c>
      <c r="Q239" s="112"/>
      <c r="R239" s="112"/>
      <c r="S239" s="112"/>
      <c r="T239" s="112"/>
      <c r="U239" s="112"/>
      <c r="V239" s="112"/>
      <c r="W239" s="112"/>
      <c r="X239" s="112"/>
      <c r="Y239" s="147"/>
      <c r="Z239" s="279"/>
      <c r="AC239" s="285" t="e">
        <f>IF(OR(AD239="NG",AE239="NG",AF239="NG",AG239="NG",AH239="NG"),1,0)</f>
        <v>#N/A</v>
      </c>
      <c r="AD239" s="286" t="e">
        <f t="shared" si="7"/>
        <v>#N/A</v>
      </c>
      <c r="AE239" s="287" t="e">
        <f t="shared" si="7"/>
        <v>#N/A</v>
      </c>
      <c r="AF239" s="285"/>
      <c r="AG239" s="285"/>
      <c r="AH239" s="285"/>
      <c r="AI239" s="285"/>
      <c r="AJ239" s="285"/>
      <c r="AK239" s="285"/>
    </row>
    <row r="240" spans="1:37">
      <c r="A240" s="112" t="s">
        <v>92</v>
      </c>
      <c r="B240" s="112"/>
      <c r="C240" s="112"/>
      <c r="D240" s="112"/>
      <c r="E240" s="112"/>
      <c r="F240" s="36"/>
      <c r="G240" s="36"/>
      <c r="H240" s="36"/>
      <c r="I240" s="36"/>
      <c r="J240" s="36"/>
      <c r="K240" s="36"/>
      <c r="L240" s="112"/>
      <c r="M240" s="112"/>
      <c r="N240" s="112"/>
      <c r="O240" s="112"/>
      <c r="P240" s="112"/>
      <c r="Q240" s="112"/>
      <c r="R240" s="112"/>
      <c r="S240" s="112"/>
      <c r="T240" s="112"/>
      <c r="U240" s="112"/>
      <c r="V240" s="112"/>
      <c r="W240" s="112"/>
      <c r="X240" s="112"/>
      <c r="Y240" s="147"/>
      <c r="Z240" s="279"/>
      <c r="AC240" s="285"/>
      <c r="AD240" s="286"/>
      <c r="AE240" s="285"/>
      <c r="AF240" s="285"/>
      <c r="AG240" s="285"/>
      <c r="AH240" s="285"/>
      <c r="AI240" s="285"/>
      <c r="AJ240" s="285"/>
      <c r="AK240" s="285"/>
    </row>
    <row r="241" spans="1:43">
      <c r="A241" s="112"/>
      <c r="B241" s="112"/>
      <c r="C241" s="112"/>
      <c r="D241" s="112"/>
      <c r="E241" s="112"/>
      <c r="F241" s="36"/>
      <c r="G241" s="36"/>
      <c r="H241" s="36"/>
      <c r="I241" s="36"/>
      <c r="J241" s="36"/>
      <c r="K241" s="36"/>
      <c r="L241" s="112"/>
      <c r="M241" s="112"/>
      <c r="N241" s="112"/>
      <c r="O241" s="112"/>
      <c r="P241" s="112"/>
      <c r="Q241" s="112"/>
      <c r="R241" s="112"/>
      <c r="S241" s="112"/>
      <c r="T241" s="112"/>
      <c r="U241" s="112"/>
      <c r="V241" s="112"/>
      <c r="W241" s="112"/>
      <c r="X241" s="112"/>
      <c r="Y241" s="147"/>
      <c r="Z241" s="279"/>
      <c r="AC241" s="285"/>
      <c r="AD241" s="286"/>
      <c r="AE241" s="285"/>
      <c r="AF241" s="285"/>
      <c r="AG241" s="285"/>
      <c r="AH241" s="285"/>
      <c r="AI241" s="285"/>
      <c r="AJ241" s="285"/>
      <c r="AK241" s="285"/>
    </row>
    <row r="242" spans="1:43">
      <c r="A242" s="112"/>
      <c r="B242" s="112"/>
      <c r="C242" s="112"/>
      <c r="D242" s="112"/>
      <c r="E242" s="112"/>
      <c r="F242" s="112"/>
      <c r="G242" s="112"/>
      <c r="H242" s="112"/>
      <c r="I242" s="112"/>
      <c r="J242" s="112"/>
      <c r="K242" s="112"/>
      <c r="L242" s="112"/>
      <c r="M242" s="112"/>
      <c r="N242" s="112"/>
      <c r="O242" s="112"/>
      <c r="P242" s="112"/>
      <c r="Q242" s="112"/>
      <c r="R242" s="112"/>
      <c r="S242" s="112"/>
      <c r="T242" s="112"/>
      <c r="U242" s="112"/>
      <c r="V242" s="112"/>
      <c r="W242" s="112"/>
      <c r="X242" s="112"/>
      <c r="Y242" s="147"/>
      <c r="Z242" s="279"/>
      <c r="AC242" s="285"/>
      <c r="AD242" s="286"/>
      <c r="AE242" s="285"/>
      <c r="AF242" s="285"/>
      <c r="AG242" s="285"/>
      <c r="AH242" s="285"/>
      <c r="AI242" s="285"/>
      <c r="AJ242" s="285"/>
      <c r="AK242" s="285"/>
    </row>
    <row r="243" spans="1:43">
      <c r="A243" s="95" t="s">
        <v>422</v>
      </c>
      <c r="B243" s="112"/>
      <c r="C243" s="112"/>
      <c r="D243" s="112"/>
      <c r="E243" s="112"/>
      <c r="F243" s="112"/>
      <c r="G243" s="112"/>
      <c r="H243" s="112"/>
      <c r="I243" s="112"/>
      <c r="J243" s="112"/>
      <c r="K243" s="112"/>
      <c r="L243" s="112"/>
      <c r="M243" s="112"/>
      <c r="N243" s="112"/>
      <c r="O243" s="112"/>
      <c r="P243" s="112"/>
      <c r="Q243" s="112"/>
      <c r="R243" s="112"/>
      <c r="S243" s="112"/>
      <c r="T243" s="112"/>
      <c r="U243" s="112"/>
      <c r="V243" s="112"/>
      <c r="W243" s="112"/>
      <c r="X243" s="112"/>
      <c r="Y243" s="147"/>
      <c r="Z243" s="279"/>
      <c r="AC243" s="285"/>
      <c r="AD243" s="286"/>
      <c r="AE243" s="285"/>
      <c r="AF243" s="285"/>
      <c r="AG243" s="285"/>
      <c r="AH243" s="285"/>
      <c r="AI243" s="285"/>
      <c r="AJ243" s="285"/>
      <c r="AK243" s="285"/>
    </row>
    <row r="244" spans="1:43" ht="60">
      <c r="A244" s="220" t="s">
        <v>23</v>
      </c>
      <c r="B244" s="220" t="s">
        <v>25</v>
      </c>
      <c r="C244" s="221" t="s">
        <v>4</v>
      </c>
      <c r="D244" s="220" t="s">
        <v>64</v>
      </c>
      <c r="E244" s="50" t="s">
        <v>380</v>
      </c>
      <c r="F244" s="50" t="s">
        <v>381</v>
      </c>
      <c r="G244" s="381" t="s">
        <v>331</v>
      </c>
      <c r="H244" s="381" t="s">
        <v>376</v>
      </c>
      <c r="I244" s="220" t="s">
        <v>377</v>
      </c>
      <c r="J244" s="381" t="s">
        <v>332</v>
      </c>
      <c r="K244" s="112"/>
      <c r="L244" s="112"/>
      <c r="M244" s="112"/>
      <c r="N244" s="112"/>
      <c r="O244" s="112"/>
      <c r="P244" s="112"/>
      <c r="Q244" s="112"/>
      <c r="R244" s="112"/>
      <c r="S244" s="112"/>
      <c r="T244" s="112"/>
      <c r="U244" s="112"/>
      <c r="V244" s="112"/>
      <c r="W244" s="112"/>
      <c r="X244" s="112"/>
      <c r="Y244" s="147"/>
      <c r="Z244" s="279"/>
      <c r="AB244" s="286" t="s">
        <v>411</v>
      </c>
      <c r="AC244" s="285"/>
      <c r="AD244" s="286"/>
      <c r="AE244" s="285"/>
      <c r="AF244" s="285"/>
      <c r="AG244" s="285"/>
      <c r="AH244" s="285"/>
      <c r="AI244" s="285"/>
      <c r="AJ244" s="285"/>
      <c r="AK244" s="285"/>
    </row>
    <row r="245" spans="1:43">
      <c r="A245" s="222" t="str">
        <f>$A$81</f>
        <v>U/L Chord  (LT)</v>
      </c>
      <c r="B245" s="223" t="e">
        <f>$B$81</f>
        <v>#N/A</v>
      </c>
      <c r="C245" s="224" t="e">
        <f>$C$81</f>
        <v>#N/A</v>
      </c>
      <c r="D245" s="225" t="e">
        <f>$J$57</f>
        <v>#N/A</v>
      </c>
      <c r="E245" s="23" t="e">
        <f>IF(OR(G235="N/A",D245="Dead"),"N/A",M235)</f>
        <v>#N/A</v>
      </c>
      <c r="F245" s="23" t="e">
        <f>IF(OR(H235="N/A",D245="Dead"),"N/A",N235)</f>
        <v>#N/A</v>
      </c>
      <c r="G245" s="382" t="e">
        <f>IF(F245="N/A","N/A",MIN(E245,F245))</f>
        <v>#N/A</v>
      </c>
      <c r="H245" s="382" t="e">
        <f>IF(F245="N/A","N/A",ABS($D$57))</f>
        <v>#N/A</v>
      </c>
      <c r="I245" s="225" t="e">
        <f>IF(C245="N/A","N/A",MAX(ABS($E$57),ABS($F$57)))</f>
        <v>#N/A</v>
      </c>
      <c r="J245" s="382" t="e">
        <f>IF(G245="N/A","N/A",(G245-H245)/I245)</f>
        <v>#N/A</v>
      </c>
      <c r="K245" s="112"/>
      <c r="L245" s="112"/>
      <c r="M245" s="112"/>
      <c r="N245" s="112"/>
      <c r="O245" s="112"/>
      <c r="P245" s="112"/>
      <c r="Q245" s="112"/>
      <c r="R245" s="112"/>
      <c r="S245" s="112"/>
      <c r="T245" s="112"/>
      <c r="U245" s="112"/>
      <c r="V245" s="112"/>
      <c r="W245" s="112"/>
      <c r="X245" s="112"/>
      <c r="Y245" s="147"/>
      <c r="Z245" s="279"/>
      <c r="AB245" s="286" t="e">
        <f>J245</f>
        <v>#N/A</v>
      </c>
      <c r="AC245" s="285"/>
      <c r="AD245" s="286"/>
      <c r="AE245" s="285"/>
      <c r="AF245" s="285"/>
      <c r="AG245" s="285"/>
      <c r="AH245" s="285"/>
      <c r="AI245" s="285"/>
      <c r="AJ245" s="285"/>
      <c r="AK245" s="285"/>
    </row>
    <row r="246" spans="1:43">
      <c r="A246" s="222" t="str">
        <f>$A$82</f>
        <v>U/L Chord  (RT)</v>
      </c>
      <c r="B246" s="223" t="e">
        <f>$B$82</f>
        <v>#N/A</v>
      </c>
      <c r="C246" s="224" t="e">
        <f>$C$82</f>
        <v>#N/A</v>
      </c>
      <c r="D246" s="225" t="e">
        <f>$J$58</f>
        <v>#N/A</v>
      </c>
      <c r="E246" s="23" t="e">
        <f>IF(OR(G236="N/A",D246="Dead"),"N/A",M236)</f>
        <v>#N/A</v>
      </c>
      <c r="F246" s="23" t="e">
        <f>IF(OR(H236="N/A",D246="Dead"),"N/A",N236)</f>
        <v>#N/A</v>
      </c>
      <c r="G246" s="382" t="e">
        <f>IF(F246="N/A","N/A",MIN(E246,F246))</f>
        <v>#N/A</v>
      </c>
      <c r="H246" s="382" t="e">
        <f>IF(F246="N/A","N/A",ABS($D$58))</f>
        <v>#N/A</v>
      </c>
      <c r="I246" s="225" t="e">
        <f>IF(C246="N/A","N/A",MAX(ABS($E$58),ABS($F$58)))</f>
        <v>#N/A</v>
      </c>
      <c r="J246" s="382" t="e">
        <f>IF(G246="N/A","N/A",(G246-H246)/I246)</f>
        <v>#N/A</v>
      </c>
      <c r="K246" s="112"/>
      <c r="L246" s="112"/>
      <c r="M246" s="112"/>
      <c r="N246" s="112"/>
      <c r="O246" s="112"/>
      <c r="P246" s="112"/>
      <c r="Q246" s="112"/>
      <c r="R246" s="112"/>
      <c r="S246" s="112"/>
      <c r="T246" s="112"/>
      <c r="U246" s="112"/>
      <c r="V246" s="112"/>
      <c r="W246" s="112"/>
      <c r="X246" s="112"/>
      <c r="Y246" s="147"/>
      <c r="Z246" s="279"/>
      <c r="AB246" s="286" t="e">
        <f>J246</f>
        <v>#N/A</v>
      </c>
      <c r="AC246" s="285"/>
      <c r="AD246" s="286"/>
      <c r="AE246" s="285"/>
      <c r="AF246" s="285"/>
      <c r="AG246" s="285"/>
      <c r="AH246" s="285"/>
      <c r="AI246" s="285"/>
      <c r="AJ246" s="285"/>
      <c r="AK246" s="285"/>
    </row>
    <row r="247" spans="1:43">
      <c r="A247" s="222" t="str">
        <f>$A$83</f>
        <v>Diagonal (LT)</v>
      </c>
      <c r="B247" s="223" t="e">
        <f>$B$83</f>
        <v>#N/A</v>
      </c>
      <c r="C247" s="224" t="e">
        <f>$C$83</f>
        <v>#N/A</v>
      </c>
      <c r="D247" s="225" t="e">
        <f>$J$59</f>
        <v>#N/A</v>
      </c>
      <c r="E247" s="23" t="e">
        <f>IF(OR(G237="N/A",D247="Dead"),"N/A",M237)</f>
        <v>#N/A</v>
      </c>
      <c r="F247" s="23" t="e">
        <f>IF(OR(H237="N/A",D247="Dead"),"N/A",N237)</f>
        <v>#N/A</v>
      </c>
      <c r="G247" s="382" t="e">
        <f>IF(F247="N/A","N/A",MIN(E247,F247))</f>
        <v>#N/A</v>
      </c>
      <c r="H247" s="382" t="e">
        <f>IF(F247="N/A","N/A",ABS($D$59))</f>
        <v>#N/A</v>
      </c>
      <c r="I247" s="225" t="e">
        <f>IF(C247="N/A","N/A",MAX(ABS($E$59),ABS($F$59)))</f>
        <v>#N/A</v>
      </c>
      <c r="J247" s="382" t="e">
        <f>IF(G247="N/A","N/A",(G247-H247)/I247)</f>
        <v>#N/A</v>
      </c>
      <c r="K247" s="112"/>
      <c r="L247" s="112"/>
      <c r="M247" s="112"/>
      <c r="N247" s="112"/>
      <c r="O247" s="112"/>
      <c r="P247" s="112"/>
      <c r="Q247" s="112"/>
      <c r="R247" s="112"/>
      <c r="S247" s="112"/>
      <c r="T247" s="112"/>
      <c r="U247" s="112"/>
      <c r="V247" s="112"/>
      <c r="W247" s="112"/>
      <c r="X247" s="112"/>
      <c r="Y247" s="147"/>
      <c r="Z247" s="279"/>
      <c r="AB247" s="286" t="e">
        <f>J247</f>
        <v>#N/A</v>
      </c>
      <c r="AC247" s="285"/>
      <c r="AD247" s="286"/>
      <c r="AE247" s="285"/>
      <c r="AF247" s="285"/>
      <c r="AG247" s="285"/>
      <c r="AH247" s="285"/>
      <c r="AI247" s="285"/>
      <c r="AJ247" s="285"/>
      <c r="AK247" s="285"/>
    </row>
    <row r="248" spans="1:43">
      <c r="A248" s="222" t="str">
        <f>$A$84</f>
        <v>Diagonal (RT)</v>
      </c>
      <c r="B248" s="223" t="e">
        <f>$B$84</f>
        <v>#N/A</v>
      </c>
      <c r="C248" s="224" t="e">
        <f>$C$84</f>
        <v>#N/A</v>
      </c>
      <c r="D248" s="225" t="e">
        <f>$J$60</f>
        <v>#N/A</v>
      </c>
      <c r="E248" s="23" t="e">
        <f>IF(OR(G238="N/A",D248="Dead"),"N/A",M238)</f>
        <v>#N/A</v>
      </c>
      <c r="F248" s="23" t="e">
        <f>IF(OR(H238="N/A",D248="Dead"),"N/A",N238)</f>
        <v>#N/A</v>
      </c>
      <c r="G248" s="382" t="e">
        <f>IF(F248="N/A","N/A",MIN(E248,F248))</f>
        <v>#N/A</v>
      </c>
      <c r="H248" s="382" t="e">
        <f>IF(C248="N/A","N/A",ABS($D$60))</f>
        <v>#N/A</v>
      </c>
      <c r="I248" s="225" t="e">
        <f>IF(C248="N/A","N/A",MAX(ABS($E$60),ABS($F$60)))</f>
        <v>#N/A</v>
      </c>
      <c r="J248" s="382" t="e">
        <f>IF(G248="N/A","N/A",(G248-H248)/I248)</f>
        <v>#N/A</v>
      </c>
      <c r="K248" s="112"/>
      <c r="L248" s="112"/>
      <c r="M248" s="112"/>
      <c r="N248" s="112"/>
      <c r="O248" s="112"/>
      <c r="P248" s="112"/>
      <c r="Q248" s="112"/>
      <c r="R248" s="112"/>
      <c r="S248" s="112"/>
      <c r="T248" s="112"/>
      <c r="U248" s="112"/>
      <c r="V248" s="112"/>
      <c r="W248" s="112"/>
      <c r="X248" s="112"/>
      <c r="Y248" s="147"/>
      <c r="Z248" s="279"/>
      <c r="AB248" s="286" t="e">
        <f>J248</f>
        <v>#N/A</v>
      </c>
      <c r="AC248" s="285"/>
      <c r="AD248" s="286"/>
      <c r="AE248" s="285"/>
      <c r="AF248" s="285"/>
      <c r="AG248" s="285"/>
      <c r="AH248" s="285"/>
      <c r="AI248" s="285"/>
      <c r="AJ248" s="285"/>
      <c r="AK248" s="285"/>
    </row>
    <row r="249" spans="1:43">
      <c r="A249" s="222" t="str">
        <f>$A$85</f>
        <v>Vertical</v>
      </c>
      <c r="B249" s="223" t="e">
        <f>$B$85</f>
        <v>#N/A</v>
      </c>
      <c r="C249" s="224" t="e">
        <f>$C$85</f>
        <v>#N/A</v>
      </c>
      <c r="D249" s="225" t="e">
        <f>$J$61</f>
        <v>#N/A</v>
      </c>
      <c r="E249" s="23" t="e">
        <f>IF(OR(G239="N/A",D249="Dead"),"N/A",M239)</f>
        <v>#N/A</v>
      </c>
      <c r="F249" s="23" t="e">
        <f>IF(OR(H239="N/A",D249="Dead"),"N/A",N239)</f>
        <v>#N/A</v>
      </c>
      <c r="G249" s="382" t="e">
        <f>IF(F249="N/A","N/A",MIN(E249,F249))</f>
        <v>#N/A</v>
      </c>
      <c r="H249" s="382" t="e">
        <f>IF(C249="N/A","N/A",ABS($D$61))</f>
        <v>#N/A</v>
      </c>
      <c r="I249" s="225" t="e">
        <f>IF(C249="N/A","N/A",MAX(ABS($E$61),ABS($F$61)))</f>
        <v>#N/A</v>
      </c>
      <c r="J249" s="382" t="e">
        <f>IF(G249="N/A","N/A",(G249-H249)/I249)</f>
        <v>#N/A</v>
      </c>
      <c r="K249" s="112"/>
      <c r="L249" s="112"/>
      <c r="M249" s="112"/>
      <c r="N249" s="112"/>
      <c r="O249" s="112"/>
      <c r="P249" s="112"/>
      <c r="Q249" s="112"/>
      <c r="R249" s="112"/>
      <c r="S249" s="112"/>
      <c r="T249" s="112"/>
      <c r="U249" s="112"/>
      <c r="V249" s="112"/>
      <c r="W249" s="112"/>
      <c r="X249" s="112"/>
      <c r="Y249" s="147"/>
      <c r="Z249" s="279"/>
      <c r="AB249" s="286" t="e">
        <f>J249</f>
        <v>#N/A</v>
      </c>
      <c r="AC249" s="285"/>
      <c r="AD249" s="286"/>
      <c r="AE249" s="285"/>
      <c r="AF249" s="285"/>
      <c r="AG249" s="285"/>
      <c r="AH249" s="285"/>
      <c r="AI249" s="285"/>
      <c r="AJ249" s="285"/>
      <c r="AK249" s="285"/>
    </row>
    <row r="250" spans="1:43">
      <c r="A250" s="112"/>
      <c r="B250" s="112"/>
      <c r="C250" s="112"/>
      <c r="D250" s="112"/>
      <c r="E250" s="112"/>
      <c r="F250" s="112"/>
      <c r="G250" s="112"/>
      <c r="H250" s="112"/>
      <c r="I250" s="112"/>
      <c r="J250" s="112"/>
      <c r="K250" s="112"/>
      <c r="L250" s="112"/>
      <c r="M250" s="112"/>
      <c r="N250" s="112"/>
      <c r="O250" s="112"/>
      <c r="P250" s="112"/>
      <c r="Q250" s="112"/>
      <c r="R250" s="112"/>
      <c r="S250" s="112"/>
      <c r="T250" s="112"/>
      <c r="U250" s="112"/>
      <c r="V250" s="112"/>
      <c r="W250" s="112"/>
      <c r="X250" s="112"/>
      <c r="Y250" s="147"/>
      <c r="Z250" s="279"/>
      <c r="AC250" s="285"/>
      <c r="AD250" s="286"/>
      <c r="AE250" s="285"/>
      <c r="AF250" s="285"/>
      <c r="AG250" s="285"/>
      <c r="AH250" s="285"/>
      <c r="AI250" s="285"/>
      <c r="AJ250" s="285"/>
      <c r="AK250" s="285"/>
    </row>
    <row r="251" spans="1:43">
      <c r="A251" s="112"/>
      <c r="B251" s="112"/>
      <c r="C251" s="112"/>
      <c r="D251" s="112"/>
      <c r="E251" s="112"/>
      <c r="F251" s="112"/>
      <c r="G251" s="112"/>
      <c r="H251" s="112"/>
      <c r="I251" s="112"/>
      <c r="J251" s="112"/>
      <c r="K251" s="112"/>
      <c r="L251" s="112"/>
      <c r="M251" s="112"/>
      <c r="N251" s="112"/>
      <c r="O251" s="112"/>
      <c r="P251" s="112"/>
      <c r="Q251" s="112"/>
      <c r="R251" s="112"/>
      <c r="S251" s="112"/>
      <c r="T251" s="112"/>
      <c r="U251" s="112"/>
      <c r="V251" s="112"/>
      <c r="W251" s="112"/>
      <c r="X251" s="112"/>
      <c r="Y251" s="147"/>
      <c r="Z251" s="279"/>
      <c r="AC251" s="285"/>
      <c r="AD251" s="286"/>
      <c r="AE251" s="285"/>
      <c r="AF251" s="285"/>
      <c r="AG251" s="285"/>
      <c r="AH251" s="285"/>
      <c r="AI251" s="285"/>
      <c r="AJ251" s="285"/>
      <c r="AK251" s="285"/>
    </row>
    <row r="252" spans="1:43">
      <c r="A252" s="112"/>
      <c r="B252" s="112"/>
      <c r="C252" s="112"/>
      <c r="D252" s="112"/>
      <c r="E252" s="112"/>
      <c r="F252" s="112"/>
      <c r="G252" s="112"/>
      <c r="H252" s="112"/>
      <c r="I252" s="112"/>
      <c r="J252" s="112"/>
      <c r="K252" s="112"/>
      <c r="L252" s="112"/>
      <c r="M252" s="112"/>
      <c r="N252" s="112"/>
      <c r="O252" s="112"/>
      <c r="P252" s="112"/>
      <c r="Q252" s="112"/>
      <c r="R252" s="112"/>
      <c r="S252" s="112"/>
      <c r="T252" s="112"/>
      <c r="U252" s="112"/>
      <c r="V252" s="112"/>
      <c r="W252" s="112"/>
      <c r="X252" s="112"/>
      <c r="Y252" s="147"/>
      <c r="Z252" s="279"/>
      <c r="AC252" s="285"/>
      <c r="AD252" s="286"/>
      <c r="AE252" s="285"/>
      <c r="AF252" s="285"/>
      <c r="AG252" s="285"/>
      <c r="AH252" s="285"/>
      <c r="AI252" s="285"/>
      <c r="AJ252" s="285"/>
      <c r="AK252" s="285"/>
    </row>
    <row r="253" spans="1:43">
      <c r="A253" s="96"/>
      <c r="B253" s="32"/>
      <c r="C253" s="19"/>
      <c r="D253" s="33"/>
      <c r="E253" s="19"/>
      <c r="F253" s="19"/>
      <c r="G253" s="19"/>
      <c r="H253" s="19"/>
      <c r="I253" s="19"/>
      <c r="J253" s="34"/>
      <c r="K253" s="34"/>
      <c r="L253" s="35"/>
      <c r="M253" s="112"/>
      <c r="N253" s="112"/>
      <c r="O253" s="112"/>
      <c r="P253" s="112"/>
      <c r="Q253" s="112"/>
      <c r="R253" s="112"/>
      <c r="S253" s="112"/>
      <c r="T253" s="112"/>
      <c r="U253" s="112"/>
      <c r="V253" s="112"/>
      <c r="W253" s="112"/>
      <c r="X253" s="112"/>
      <c r="Y253" s="147"/>
      <c r="Z253" s="279"/>
      <c r="AC253" s="285"/>
      <c r="AD253" s="285"/>
      <c r="AE253" s="285"/>
      <c r="AF253" s="285"/>
      <c r="AG253" s="285"/>
      <c r="AH253" s="285"/>
      <c r="AI253" s="285"/>
      <c r="AJ253" s="285"/>
      <c r="AK253" s="285"/>
    </row>
    <row r="254" spans="1:43">
      <c r="A254" s="93" t="s">
        <v>439</v>
      </c>
      <c r="B254" s="9"/>
      <c r="C254" s="83"/>
      <c r="D254" s="33"/>
      <c r="E254" s="33"/>
      <c r="F254" s="83"/>
      <c r="G254" s="83"/>
      <c r="H254" s="84"/>
      <c r="I254" s="84"/>
      <c r="J254" s="84"/>
      <c r="K254" s="84"/>
      <c r="L254" s="84"/>
      <c r="M254" s="84"/>
      <c r="N254" s="84"/>
      <c r="O254" s="84"/>
      <c r="P254" s="84"/>
      <c r="Q254" s="84"/>
      <c r="R254" s="84"/>
      <c r="S254" s="84"/>
      <c r="T254" s="84"/>
      <c r="U254" s="85"/>
      <c r="V254" s="85"/>
      <c r="W254" s="85"/>
      <c r="X254" s="112"/>
      <c r="Y254" s="147"/>
      <c r="AA254" s="282" t="e">
        <f>MIN(AB307:AB310,AB333:AB336)</f>
        <v>#N/A</v>
      </c>
      <c r="AB254" s="282" t="e">
        <f>MIN(MIN(AF291:AG294),MIN(AF317:AG320))</f>
        <v>#N/A</v>
      </c>
      <c r="AC254" s="283" t="e">
        <f>IF(SUM(AB291:AB294,AB317:AB320)=0,"N/A",IF(SUM(AC291:AC294,AC317:AC320)=0,"OK",IF(AND(AC295="N/A",AC321="N/A"),"N/A","NG")))</f>
        <v>#N/A</v>
      </c>
      <c r="AD254" s="284" t="str">
        <f>A254</f>
        <v>7: Gusset Plate Combined Planes Shear Rupture Resistance</v>
      </c>
      <c r="AE254" s="285"/>
      <c r="AF254" s="285"/>
      <c r="AG254" s="285"/>
      <c r="AH254" s="285"/>
      <c r="AI254" s="285"/>
      <c r="AJ254" s="285"/>
      <c r="AP254" s="262"/>
      <c r="AQ254" s="243"/>
    </row>
    <row r="255" spans="1:43">
      <c r="A255" s="100"/>
      <c r="B255" s="9"/>
      <c r="C255" s="83"/>
      <c r="D255" s="33"/>
      <c r="E255" s="33"/>
      <c r="F255" s="83"/>
      <c r="G255" s="83"/>
      <c r="H255" s="84"/>
      <c r="I255" s="84"/>
      <c r="J255" s="84"/>
      <c r="K255" s="84"/>
      <c r="L255" s="84"/>
      <c r="M255" s="84"/>
      <c r="N255" s="84"/>
      <c r="O255" s="84"/>
      <c r="P255" s="84"/>
      <c r="Q255" s="84"/>
      <c r="R255" s="84"/>
      <c r="S255" s="84"/>
      <c r="T255" s="84"/>
      <c r="U255" s="85"/>
      <c r="V255" s="85"/>
      <c r="W255" s="85"/>
      <c r="X255" s="112"/>
      <c r="Y255" s="147"/>
      <c r="AB255" s="285"/>
      <c r="AC255" s="286"/>
      <c r="AD255" s="287"/>
      <c r="AE255" s="285"/>
      <c r="AF255" s="285"/>
      <c r="AG255" s="285"/>
      <c r="AH255" s="285"/>
      <c r="AI255" s="285"/>
      <c r="AJ255" s="285"/>
      <c r="AP255" s="262"/>
      <c r="AQ255" s="243"/>
    </row>
    <row r="256" spans="1:43">
      <c r="A256" s="97" t="s">
        <v>79</v>
      </c>
      <c r="B256" s="45"/>
      <c r="C256" s="46"/>
      <c r="D256" s="103"/>
      <c r="E256" s="103"/>
      <c r="F256" s="83"/>
      <c r="G256" s="83"/>
      <c r="H256" s="84"/>
      <c r="I256" s="84"/>
      <c r="J256" s="84"/>
      <c r="K256" s="84"/>
      <c r="L256" s="84"/>
      <c r="M256" s="84"/>
      <c r="N256" s="84"/>
      <c r="O256" s="84"/>
      <c r="P256" s="84"/>
      <c r="Q256" s="84"/>
      <c r="R256" s="84"/>
      <c r="S256" s="84"/>
      <c r="T256" s="84"/>
      <c r="U256" s="85"/>
      <c r="V256" s="85"/>
      <c r="W256" s="85"/>
      <c r="X256" s="112"/>
      <c r="Y256" s="147"/>
      <c r="AB256" s="285"/>
      <c r="AC256" s="286"/>
      <c r="AD256" s="287"/>
      <c r="AE256" s="285"/>
      <c r="AF256" s="285"/>
      <c r="AG256" s="285"/>
      <c r="AH256" s="285"/>
      <c r="AI256" s="285"/>
      <c r="AJ256" s="285"/>
      <c r="AP256" s="262"/>
      <c r="AQ256" s="243"/>
    </row>
    <row r="257" spans="1:44">
      <c r="A257" s="46" t="s">
        <v>93</v>
      </c>
      <c r="B257" s="45">
        <f>$A$35/1000</f>
        <v>0</v>
      </c>
      <c r="C257" s="46" t="s">
        <v>77</v>
      </c>
      <c r="D257" s="103"/>
      <c r="E257" s="103"/>
      <c r="F257" s="83"/>
      <c r="G257" s="83"/>
      <c r="H257" s="84"/>
      <c r="I257" s="84"/>
      <c r="J257" s="84"/>
      <c r="K257" s="84"/>
      <c r="L257" s="84"/>
      <c r="M257" s="84"/>
      <c r="N257" s="84"/>
      <c r="O257" s="84"/>
      <c r="P257" s="84"/>
      <c r="Q257" s="84"/>
      <c r="R257" s="84"/>
      <c r="S257" s="84"/>
      <c r="T257" s="84"/>
      <c r="U257" s="85"/>
      <c r="V257" s="85"/>
      <c r="W257" s="85"/>
      <c r="X257" s="112"/>
      <c r="Y257" s="147"/>
      <c r="AB257" s="285"/>
      <c r="AC257" s="286"/>
      <c r="AD257" s="287"/>
      <c r="AE257" s="285"/>
      <c r="AF257" s="285"/>
      <c r="AG257" s="285"/>
      <c r="AH257" s="285"/>
      <c r="AI257" s="285"/>
      <c r="AJ257" s="285"/>
      <c r="AP257" s="262"/>
      <c r="AQ257" s="243"/>
    </row>
    <row r="258" spans="1:44">
      <c r="A258" s="46" t="s">
        <v>94</v>
      </c>
      <c r="B258" s="45">
        <f>$B$35/1000</f>
        <v>0</v>
      </c>
      <c r="C258" s="46" t="s">
        <v>77</v>
      </c>
      <c r="D258" s="103"/>
      <c r="E258" s="103"/>
      <c r="F258" s="83"/>
      <c r="G258" s="83"/>
      <c r="H258" s="84"/>
      <c r="I258" s="84"/>
      <c r="J258" s="84"/>
      <c r="K258" s="84"/>
      <c r="L258" s="84"/>
      <c r="M258" s="84"/>
      <c r="N258" s="84"/>
      <c r="O258" s="84"/>
      <c r="P258" s="84"/>
      <c r="Q258" s="84"/>
      <c r="R258" s="84"/>
      <c r="S258" s="84"/>
      <c r="T258" s="84"/>
      <c r="U258" s="85"/>
      <c r="V258" s="85"/>
      <c r="W258" s="85"/>
      <c r="X258" s="112"/>
      <c r="Y258" s="147"/>
      <c r="AB258" s="285"/>
      <c r="AC258" s="286"/>
      <c r="AD258" s="287"/>
      <c r="AE258" s="285"/>
      <c r="AF258" s="285"/>
      <c r="AG258" s="285"/>
      <c r="AH258" s="285"/>
      <c r="AI258" s="285"/>
      <c r="AJ258" s="285"/>
      <c r="AP258" s="262"/>
      <c r="AQ258" s="243"/>
    </row>
    <row r="259" spans="1:44">
      <c r="A259" s="46" t="s">
        <v>95</v>
      </c>
      <c r="B259" s="45">
        <f>$E$35/1000</f>
        <v>0</v>
      </c>
      <c r="C259" s="104" t="s">
        <v>196</v>
      </c>
      <c r="D259" s="103"/>
      <c r="E259" s="103"/>
      <c r="F259" s="83"/>
      <c r="G259" s="83"/>
      <c r="H259" s="84"/>
      <c r="I259" s="84"/>
      <c r="J259" s="84"/>
      <c r="K259" s="84"/>
      <c r="L259" s="84"/>
      <c r="M259" s="84"/>
      <c r="N259" s="84"/>
      <c r="O259" s="84"/>
      <c r="P259" s="84"/>
      <c r="Q259" s="84"/>
      <c r="R259" s="84"/>
      <c r="S259" s="84"/>
      <c r="T259" s="84"/>
      <c r="U259" s="85"/>
      <c r="V259" s="85"/>
      <c r="W259" s="85"/>
      <c r="X259" s="112"/>
      <c r="Y259" s="147"/>
      <c r="AB259" s="285"/>
      <c r="AC259" s="286"/>
      <c r="AD259" s="287"/>
      <c r="AE259" s="285"/>
      <c r="AF259" s="285"/>
      <c r="AG259" s="285"/>
      <c r="AH259" s="285"/>
      <c r="AI259" s="285"/>
      <c r="AJ259" s="285"/>
      <c r="AP259" s="262"/>
      <c r="AQ259" s="243"/>
    </row>
    <row r="260" spans="1:44">
      <c r="A260" s="46" t="s">
        <v>96</v>
      </c>
      <c r="B260" s="45">
        <f>$F$35/1000</f>
        <v>0</v>
      </c>
      <c r="C260" s="104" t="s">
        <v>196</v>
      </c>
      <c r="D260" s="103"/>
      <c r="E260" s="103"/>
      <c r="F260" s="83"/>
      <c r="G260" s="83"/>
      <c r="H260" s="84"/>
      <c r="I260" s="84"/>
      <c r="J260" s="84"/>
      <c r="K260" s="84"/>
      <c r="L260" s="84"/>
      <c r="M260" s="84"/>
      <c r="N260" s="84"/>
      <c r="O260" s="84"/>
      <c r="P260" s="84"/>
      <c r="Q260" s="84"/>
      <c r="R260" s="84"/>
      <c r="S260" s="84"/>
      <c r="T260" s="84"/>
      <c r="U260" s="85"/>
      <c r="V260" s="85"/>
      <c r="W260" s="85"/>
      <c r="X260" s="112"/>
      <c r="Y260" s="147"/>
      <c r="AB260" s="285"/>
      <c r="AC260" s="286"/>
      <c r="AD260" s="287"/>
      <c r="AE260" s="285"/>
      <c r="AF260" s="285"/>
      <c r="AG260" s="285"/>
      <c r="AH260" s="285"/>
      <c r="AI260" s="285"/>
      <c r="AJ260" s="285"/>
      <c r="AP260" s="262"/>
      <c r="AQ260" s="243"/>
    </row>
    <row r="261" spans="1:44">
      <c r="A261" s="46" t="s">
        <v>191</v>
      </c>
      <c r="B261" s="45">
        <f>D23</f>
        <v>0.15</v>
      </c>
      <c r="C261" s="104" t="s">
        <v>197</v>
      </c>
      <c r="D261" s="103"/>
      <c r="E261" s="103"/>
      <c r="F261" s="83"/>
      <c r="G261" s="83"/>
      <c r="H261" s="84"/>
      <c r="I261" s="84"/>
      <c r="J261" s="84"/>
      <c r="K261" s="84"/>
      <c r="L261" s="84"/>
      <c r="M261" s="84"/>
      <c r="N261" s="84"/>
      <c r="O261" s="84"/>
      <c r="P261" s="84"/>
      <c r="Q261" s="84"/>
      <c r="R261" s="84"/>
      <c r="S261" s="84"/>
      <c r="T261" s="84"/>
      <c r="U261" s="85"/>
      <c r="V261" s="85"/>
      <c r="W261" s="85"/>
      <c r="X261" s="112"/>
      <c r="Y261" s="147"/>
      <c r="AB261" s="285"/>
      <c r="AC261" s="286"/>
      <c r="AD261" s="287"/>
      <c r="AE261" s="285"/>
      <c r="AF261" s="285"/>
      <c r="AG261" s="285"/>
      <c r="AH261" s="285"/>
      <c r="AI261" s="285"/>
      <c r="AJ261" s="285"/>
      <c r="AP261" s="262"/>
      <c r="AQ261" s="243"/>
    </row>
    <row r="262" spans="1:44">
      <c r="A262" s="112"/>
      <c r="B262" s="105"/>
      <c r="C262" s="101"/>
      <c r="D262" s="33"/>
      <c r="E262" s="33"/>
      <c r="F262" s="83"/>
      <c r="G262" s="83"/>
      <c r="H262" s="84"/>
      <c r="I262" s="84"/>
      <c r="J262" s="84"/>
      <c r="K262" s="84"/>
      <c r="L262" s="84"/>
      <c r="M262" s="84"/>
      <c r="N262" s="84"/>
      <c r="O262" s="84"/>
      <c r="P262" s="84"/>
      <c r="Q262" s="84"/>
      <c r="R262" s="84"/>
      <c r="S262" s="84"/>
      <c r="T262" s="84"/>
      <c r="U262" s="85"/>
      <c r="V262" s="85"/>
      <c r="W262" s="85"/>
      <c r="X262" s="112"/>
      <c r="Y262" s="147"/>
      <c r="AB262" s="285"/>
      <c r="AC262" s="285"/>
      <c r="AD262" s="287"/>
      <c r="AE262" s="285"/>
      <c r="AF262" s="285"/>
      <c r="AG262" s="285"/>
      <c r="AH262" s="285"/>
      <c r="AI262" s="285"/>
      <c r="AJ262" s="285"/>
      <c r="AP262" s="262"/>
      <c r="AQ262" s="243"/>
    </row>
    <row r="263" spans="1:44">
      <c r="A263" s="112"/>
      <c r="B263" s="105"/>
      <c r="C263" s="101"/>
      <c r="D263" s="33"/>
      <c r="E263" s="33"/>
      <c r="F263" s="83"/>
      <c r="G263" s="83"/>
      <c r="H263" s="84"/>
      <c r="I263" s="84"/>
      <c r="J263" s="84"/>
      <c r="K263" s="84"/>
      <c r="L263" s="84"/>
      <c r="M263" s="84"/>
      <c r="N263" s="84"/>
      <c r="O263" s="84"/>
      <c r="P263" s="84"/>
      <c r="Q263" s="84"/>
      <c r="R263" s="84"/>
      <c r="S263" s="84"/>
      <c r="T263" s="84"/>
      <c r="U263" s="85"/>
      <c r="V263" s="85"/>
      <c r="W263" s="85"/>
      <c r="X263" s="112"/>
      <c r="Y263" s="147"/>
      <c r="AB263" s="285"/>
      <c r="AC263" s="285"/>
      <c r="AD263" s="287"/>
      <c r="AE263" s="285"/>
      <c r="AF263" s="285"/>
      <c r="AG263" s="285"/>
      <c r="AH263" s="285"/>
      <c r="AI263" s="285"/>
      <c r="AJ263" s="285"/>
      <c r="AP263" s="262"/>
      <c r="AQ263" s="243"/>
    </row>
    <row r="264" spans="1:44">
      <c r="A264" s="112"/>
      <c r="B264" s="105"/>
      <c r="C264" s="101"/>
      <c r="D264" s="33"/>
      <c r="E264" s="33"/>
      <c r="F264" s="83"/>
      <c r="G264" s="83"/>
      <c r="H264" s="84"/>
      <c r="I264" s="84"/>
      <c r="J264" s="84"/>
      <c r="K264" s="84"/>
      <c r="L264" s="84"/>
      <c r="M264" s="84"/>
      <c r="N264" s="84"/>
      <c r="O264" s="84"/>
      <c r="P264" s="84"/>
      <c r="Q264" s="84"/>
      <c r="R264" s="84"/>
      <c r="S264" s="84"/>
      <c r="T264" s="84"/>
      <c r="U264" s="85"/>
      <c r="V264" s="85"/>
      <c r="W264" s="85"/>
      <c r="X264" s="112"/>
      <c r="Y264" s="147"/>
      <c r="AB264" s="285"/>
      <c r="AC264" s="285"/>
      <c r="AD264" s="287"/>
      <c r="AE264" s="285"/>
      <c r="AF264" s="285"/>
      <c r="AG264" s="285"/>
      <c r="AH264" s="285"/>
      <c r="AI264" s="285"/>
      <c r="AJ264" s="285"/>
      <c r="AP264" s="262"/>
      <c r="AQ264" s="243"/>
    </row>
    <row r="265" spans="1:44">
      <c r="A265" s="112"/>
      <c r="B265" s="105"/>
      <c r="C265" s="101"/>
      <c r="D265" s="33"/>
      <c r="E265" s="33"/>
      <c r="F265" s="83"/>
      <c r="G265" s="83"/>
      <c r="H265" s="84"/>
      <c r="I265" s="84"/>
      <c r="J265" s="84"/>
      <c r="K265" s="84"/>
      <c r="L265" s="84"/>
      <c r="M265" s="84"/>
      <c r="N265" s="84"/>
      <c r="O265" s="84"/>
      <c r="P265" s="84"/>
      <c r="Q265" s="84"/>
      <c r="R265" s="84"/>
      <c r="S265" s="84"/>
      <c r="T265" s="84"/>
      <c r="U265" s="85"/>
      <c r="V265" s="85"/>
      <c r="W265" s="85"/>
      <c r="X265" s="112"/>
      <c r="Y265" s="147"/>
      <c r="AB265" s="285"/>
      <c r="AC265" s="285"/>
      <c r="AD265" s="287"/>
      <c r="AE265" s="285"/>
      <c r="AF265" s="285"/>
      <c r="AG265" s="285"/>
      <c r="AH265" s="285"/>
      <c r="AI265" s="285"/>
      <c r="AJ265" s="285"/>
      <c r="AP265" s="262"/>
      <c r="AQ265" s="243"/>
    </row>
    <row r="266" spans="1:44" s="153" customFormat="1" ht="17.25" customHeight="1">
      <c r="A266" s="112"/>
      <c r="B266" s="112"/>
      <c r="C266" s="112"/>
      <c r="D266" s="112"/>
      <c r="E266" s="112"/>
      <c r="F266" s="112"/>
      <c r="G266" s="112"/>
      <c r="H266" s="112"/>
      <c r="I266" s="112"/>
      <c r="J266" s="112"/>
      <c r="K266" s="112"/>
      <c r="L266" s="112"/>
      <c r="M266" s="100"/>
      <c r="N266" s="100"/>
      <c r="O266" s="100"/>
      <c r="P266" s="100"/>
      <c r="Q266" s="100"/>
      <c r="R266" s="100"/>
      <c r="S266" s="100"/>
      <c r="T266" s="100"/>
      <c r="U266" s="100"/>
      <c r="V266" s="100"/>
      <c r="W266" s="100"/>
      <c r="X266" s="100"/>
      <c r="Y266" s="147"/>
      <c r="Z266" s="184"/>
      <c r="AA266" s="280"/>
      <c r="AB266" s="285"/>
      <c r="AC266" s="285"/>
      <c r="AD266" s="287"/>
      <c r="AE266" s="285"/>
      <c r="AF266" s="285"/>
      <c r="AG266" s="285"/>
      <c r="AH266" s="285"/>
      <c r="AI266" s="285"/>
      <c r="AJ266" s="285"/>
      <c r="AK266" s="285"/>
      <c r="AL266" s="280"/>
      <c r="AM266" s="280"/>
      <c r="AN266" s="150"/>
      <c r="AO266" s="150"/>
      <c r="AP266" s="242"/>
      <c r="AQ266" s="244"/>
      <c r="AR266" s="243"/>
    </row>
    <row r="267" spans="1:44" s="153" customFormat="1">
      <c r="A267" s="112"/>
      <c r="B267" s="112"/>
      <c r="C267" s="112"/>
      <c r="D267" s="112"/>
      <c r="E267" s="112"/>
      <c r="F267" s="112"/>
      <c r="G267" s="112"/>
      <c r="H267" s="112"/>
      <c r="I267" s="112"/>
      <c r="J267" s="112"/>
      <c r="K267" s="112"/>
      <c r="L267" s="112"/>
      <c r="M267" s="100"/>
      <c r="N267" s="100"/>
      <c r="O267" s="100"/>
      <c r="P267" s="100"/>
      <c r="Q267" s="100"/>
      <c r="R267" s="100"/>
      <c r="S267" s="100"/>
      <c r="T267" s="100"/>
      <c r="U267" s="100"/>
      <c r="V267" s="100"/>
      <c r="W267" s="100"/>
      <c r="X267" s="100"/>
      <c r="Y267" s="147"/>
      <c r="Z267" s="184"/>
      <c r="AA267" s="280"/>
      <c r="AB267" s="285"/>
      <c r="AC267" s="285"/>
      <c r="AD267" s="287"/>
      <c r="AE267" s="285"/>
      <c r="AF267" s="285"/>
      <c r="AG267" s="285"/>
      <c r="AH267" s="285"/>
      <c r="AI267" s="285"/>
      <c r="AJ267" s="285"/>
      <c r="AK267" s="285"/>
      <c r="AL267" s="280"/>
      <c r="AM267" s="280"/>
      <c r="AN267" s="150"/>
      <c r="AO267" s="150"/>
      <c r="AP267" s="242"/>
      <c r="AQ267" s="244"/>
      <c r="AR267" s="243"/>
    </row>
    <row r="268" spans="1:44" s="153" customFormat="1" ht="45">
      <c r="A268" s="5" t="s">
        <v>23</v>
      </c>
      <c r="B268" s="5" t="s">
        <v>25</v>
      </c>
      <c r="C268" s="48" t="s">
        <v>4</v>
      </c>
      <c r="D268" s="5" t="s">
        <v>64</v>
      </c>
      <c r="E268" s="12" t="s">
        <v>386</v>
      </c>
      <c r="F268" s="12" t="s">
        <v>387</v>
      </c>
      <c r="G268" s="12" t="s">
        <v>388</v>
      </c>
      <c r="H268" s="12" t="s">
        <v>389</v>
      </c>
      <c r="I268" s="12" t="s">
        <v>390</v>
      </c>
      <c r="J268" s="12" t="s">
        <v>391</v>
      </c>
      <c r="K268" s="112"/>
      <c r="L268" s="112"/>
      <c r="M268" s="112"/>
      <c r="N268" s="112"/>
      <c r="O268" s="112"/>
      <c r="P268" s="100"/>
      <c r="Q268" s="100"/>
      <c r="R268" s="100"/>
      <c r="S268" s="100"/>
      <c r="T268" s="100"/>
      <c r="U268" s="100"/>
      <c r="V268" s="100"/>
      <c r="W268" s="100"/>
      <c r="X268" s="100"/>
      <c r="Y268" s="147"/>
      <c r="Z268" s="184"/>
      <c r="AA268" s="280"/>
      <c r="AB268" s="285"/>
      <c r="AC268" s="285"/>
      <c r="AD268" s="287"/>
      <c r="AE268" s="285"/>
      <c r="AF268" s="285"/>
      <c r="AG268" s="285"/>
      <c r="AH268" s="285"/>
      <c r="AI268" s="285"/>
      <c r="AJ268" s="285"/>
      <c r="AK268" s="285"/>
      <c r="AL268" s="280"/>
      <c r="AM268" s="280"/>
      <c r="AN268" s="150"/>
      <c r="AO268" s="150"/>
      <c r="AP268" s="242"/>
      <c r="AQ268" s="244"/>
      <c r="AR268" s="243"/>
    </row>
    <row r="269" spans="1:44" s="153" customFormat="1">
      <c r="A269" s="151" t="str">
        <f>$A$83</f>
        <v>Diagonal (LT)</v>
      </c>
      <c r="B269" s="154" t="e">
        <f>$B$83</f>
        <v>#N/A</v>
      </c>
      <c r="C269" s="155" t="e">
        <f>$C$83</f>
        <v>#N/A</v>
      </c>
      <c r="D269" s="156" t="e">
        <f>$J$59</f>
        <v>#N/A</v>
      </c>
      <c r="E269" s="228" t="e">
        <f>IF(OR(C269="N/A",F71&lt;=0),0,F71)</f>
        <v>#N/A</v>
      </c>
      <c r="F269" s="228" t="e">
        <f>IF(OR(C269="N/A",G71&lt;=0),0,G71)</f>
        <v>#N/A</v>
      </c>
      <c r="G269" s="229" t="e">
        <f>IF(C269="N/A",0,J71)</f>
        <v>#N/A</v>
      </c>
      <c r="H269" s="229" t="e">
        <f>IF(C269="N/A",0,K71)</f>
        <v>#N/A</v>
      </c>
      <c r="I269" s="383" t="e">
        <f>IF(C269="N/A",0,N71)</f>
        <v>#N/A</v>
      </c>
      <c r="J269" s="383" t="e">
        <f>IF(C269="N/A",0,O71)</f>
        <v>#N/A</v>
      </c>
      <c r="K269" s="112"/>
      <c r="L269" s="112"/>
      <c r="M269" s="112"/>
      <c r="N269" s="112"/>
      <c r="O269" s="112"/>
      <c r="P269" s="100"/>
      <c r="Q269" s="100"/>
      <c r="R269" s="100"/>
      <c r="S269" s="100"/>
      <c r="T269" s="100"/>
      <c r="U269" s="100"/>
      <c r="V269" s="100"/>
      <c r="W269" s="100"/>
      <c r="X269" s="100"/>
      <c r="Y269" s="147"/>
      <c r="Z269" s="184"/>
      <c r="AA269" s="280"/>
      <c r="AB269" s="285"/>
      <c r="AC269" s="285"/>
      <c r="AD269" s="287"/>
      <c r="AE269" s="285"/>
      <c r="AF269" s="285"/>
      <c r="AG269" s="285"/>
      <c r="AH269" s="285"/>
      <c r="AI269" s="285"/>
      <c r="AJ269" s="285"/>
      <c r="AK269" s="285"/>
      <c r="AL269" s="280"/>
      <c r="AM269" s="280"/>
      <c r="AN269" s="150"/>
      <c r="AO269" s="150"/>
      <c r="AP269" s="242"/>
      <c r="AQ269" s="244"/>
      <c r="AR269" s="243"/>
    </row>
    <row r="270" spans="1:44" s="153" customFormat="1">
      <c r="A270" s="151" t="str">
        <f>$A$84</f>
        <v>Diagonal (RT)</v>
      </c>
      <c r="B270" s="154" t="e">
        <f>$B$84</f>
        <v>#N/A</v>
      </c>
      <c r="C270" s="155" t="e">
        <f>$C$84</f>
        <v>#N/A</v>
      </c>
      <c r="D270" s="156" t="e">
        <f>$J$60</f>
        <v>#N/A</v>
      </c>
      <c r="E270" s="228" t="e">
        <f>IF(OR(C270="N/A",F72&lt;=0),0,F72)</f>
        <v>#N/A</v>
      </c>
      <c r="F270" s="228" t="e">
        <f>IF(OR(C270="N/A",G72&lt;=0),0,G72)</f>
        <v>#N/A</v>
      </c>
      <c r="G270" s="229" t="e">
        <f>IF(C270="N/A",0,J72)</f>
        <v>#N/A</v>
      </c>
      <c r="H270" s="229" t="e">
        <f>IF(C270="N/A",0,K72)</f>
        <v>#N/A</v>
      </c>
      <c r="I270" s="383" t="e">
        <f>IF(C270="N/A",0,N72)</f>
        <v>#N/A</v>
      </c>
      <c r="J270" s="383" t="e">
        <f>IF(C270="N/A",0,O72)</f>
        <v>#N/A</v>
      </c>
      <c r="K270" s="112"/>
      <c r="L270" s="112"/>
      <c r="M270" s="112"/>
      <c r="N270" s="112"/>
      <c r="O270" s="112"/>
      <c r="P270" s="100"/>
      <c r="Q270" s="100"/>
      <c r="R270" s="100"/>
      <c r="S270" s="100"/>
      <c r="T270" s="100"/>
      <c r="U270" s="100"/>
      <c r="V270" s="100"/>
      <c r="W270" s="100"/>
      <c r="X270" s="100"/>
      <c r="Y270" s="147"/>
      <c r="Z270" s="184"/>
      <c r="AA270" s="280"/>
      <c r="AB270" s="285"/>
      <c r="AC270" s="285"/>
      <c r="AD270" s="287"/>
      <c r="AE270" s="285"/>
      <c r="AF270" s="285"/>
      <c r="AG270" s="285"/>
      <c r="AH270" s="285"/>
      <c r="AI270" s="285"/>
      <c r="AJ270" s="285"/>
      <c r="AK270" s="285"/>
      <c r="AL270" s="280"/>
      <c r="AM270" s="280"/>
      <c r="AN270" s="150"/>
      <c r="AO270" s="150"/>
      <c r="AP270" s="242"/>
      <c r="AQ270" s="244"/>
      <c r="AR270" s="243"/>
    </row>
    <row r="271" spans="1:44" s="153" customFormat="1">
      <c r="A271" s="151" t="str">
        <f>$A$85</f>
        <v>Vertical</v>
      </c>
      <c r="B271" s="154" t="e">
        <f>$B$85</f>
        <v>#N/A</v>
      </c>
      <c r="C271" s="155" t="e">
        <f>$C$85</f>
        <v>#N/A</v>
      </c>
      <c r="D271" s="156" t="e">
        <f>$J$61</f>
        <v>#N/A</v>
      </c>
      <c r="E271" s="228" t="e">
        <f>IF(OR(C271="N/A",F73&lt;=0),0,F73)</f>
        <v>#N/A</v>
      </c>
      <c r="F271" s="228" t="e">
        <f>IF(OR(C271="N/A",G73&lt;=0),0,G73)</f>
        <v>#N/A</v>
      </c>
      <c r="G271" s="229" t="e">
        <f>IF(C271="N/A",0,J73)</f>
        <v>#N/A</v>
      </c>
      <c r="H271" s="229" t="e">
        <f>IF(C271="N/A",0,K73)</f>
        <v>#N/A</v>
      </c>
      <c r="I271" s="156" t="e">
        <f>IF(C271="N/A",0,N73)</f>
        <v>#N/A</v>
      </c>
      <c r="J271" s="156" t="e">
        <f>IF(C271="N/A",0,O73)</f>
        <v>#N/A</v>
      </c>
      <c r="K271" s="112"/>
      <c r="L271" s="112"/>
      <c r="M271" s="112"/>
      <c r="N271" s="112"/>
      <c r="O271" s="112"/>
      <c r="P271" s="100"/>
      <c r="Q271" s="100"/>
      <c r="R271" s="100"/>
      <c r="S271" s="100"/>
      <c r="T271" s="100"/>
      <c r="U271" s="100"/>
      <c r="V271" s="100"/>
      <c r="W271" s="100"/>
      <c r="X271" s="100"/>
      <c r="Y271" s="147"/>
      <c r="Z271" s="184"/>
      <c r="AA271" s="280"/>
      <c r="AB271" s="285"/>
      <c r="AC271" s="285"/>
      <c r="AD271" s="287"/>
      <c r="AE271" s="285"/>
      <c r="AF271" s="285"/>
      <c r="AG271" s="285"/>
      <c r="AH271" s="285"/>
      <c r="AI271" s="285"/>
      <c r="AJ271" s="285"/>
      <c r="AK271" s="285"/>
      <c r="AL271" s="280"/>
      <c r="AM271" s="280"/>
      <c r="AN271" s="150"/>
      <c r="AO271" s="150"/>
      <c r="AP271" s="242"/>
      <c r="AQ271" s="244"/>
      <c r="AR271" s="243"/>
    </row>
    <row r="272" spans="1:44" s="153" customFormat="1">
      <c r="A272" s="96"/>
      <c r="B272" s="385"/>
      <c r="C272" s="226"/>
      <c r="D272" s="199"/>
      <c r="E272" s="386"/>
      <c r="F272" s="386"/>
      <c r="G272" s="387"/>
      <c r="H272" s="387"/>
      <c r="I272" s="199"/>
      <c r="J272" s="199"/>
      <c r="K272" s="112"/>
      <c r="L272" s="112"/>
      <c r="M272" s="112"/>
      <c r="N272" s="112"/>
      <c r="O272" s="112"/>
      <c r="P272" s="100"/>
      <c r="Q272" s="100"/>
      <c r="R272" s="100"/>
      <c r="S272" s="100"/>
      <c r="T272" s="100"/>
      <c r="U272" s="100"/>
      <c r="V272" s="100"/>
      <c r="W272" s="100"/>
      <c r="X272" s="100"/>
      <c r="Y272" s="147"/>
      <c r="Z272" s="184"/>
      <c r="AA272" s="280"/>
      <c r="AB272" s="285"/>
      <c r="AC272" s="285"/>
      <c r="AD272" s="287"/>
      <c r="AE272" s="285"/>
      <c r="AF272" s="285"/>
      <c r="AG272" s="285"/>
      <c r="AH272" s="285"/>
      <c r="AI272" s="285"/>
      <c r="AJ272" s="285"/>
      <c r="AK272" s="285"/>
      <c r="AL272" s="280"/>
      <c r="AM272" s="280"/>
      <c r="AN272" s="150"/>
      <c r="AO272" s="150"/>
      <c r="AP272" s="242"/>
      <c r="AQ272" s="244"/>
      <c r="AR272" s="243"/>
    </row>
    <row r="273" spans="1:44" s="153" customFormat="1">
      <c r="A273" s="96"/>
      <c r="B273" s="385"/>
      <c r="C273" s="226"/>
      <c r="D273" s="199"/>
      <c r="E273" s="386"/>
      <c r="F273" s="386"/>
      <c r="G273" s="387"/>
      <c r="H273" s="387"/>
      <c r="I273" s="199"/>
      <c r="J273" s="199"/>
      <c r="K273" s="112"/>
      <c r="L273" s="112"/>
      <c r="M273" s="112"/>
      <c r="N273" s="112"/>
      <c r="O273" s="112"/>
      <c r="P273" s="100"/>
      <c r="Q273" s="100"/>
      <c r="R273" s="100"/>
      <c r="S273" s="100"/>
      <c r="T273" s="100"/>
      <c r="U273" s="100"/>
      <c r="V273" s="100"/>
      <c r="W273" s="100"/>
      <c r="X273" s="100"/>
      <c r="Y273" s="147"/>
      <c r="Z273" s="184"/>
      <c r="AA273" s="280"/>
      <c r="AB273" s="285"/>
      <c r="AC273" s="285"/>
      <c r="AD273" s="287"/>
      <c r="AE273" s="285"/>
      <c r="AF273" s="285"/>
      <c r="AG273" s="285"/>
      <c r="AH273" s="285"/>
      <c r="AI273" s="285"/>
      <c r="AJ273" s="285"/>
      <c r="AK273" s="285"/>
      <c r="AL273" s="280"/>
      <c r="AM273" s="280"/>
      <c r="AN273" s="150"/>
      <c r="AO273" s="150"/>
      <c r="AP273" s="242"/>
      <c r="AQ273" s="244"/>
      <c r="AR273" s="243"/>
    </row>
    <row r="274" spans="1:44">
      <c r="A274" s="112"/>
      <c r="B274" s="105"/>
      <c r="C274" s="101"/>
      <c r="D274" s="33"/>
      <c r="E274" s="33"/>
      <c r="F274" s="83"/>
      <c r="G274" s="83"/>
      <c r="H274" s="84"/>
      <c r="I274" s="84"/>
      <c r="J274" s="84"/>
      <c r="K274" s="84"/>
      <c r="L274" s="84"/>
      <c r="M274" s="84"/>
      <c r="N274" s="84"/>
      <c r="O274" s="84"/>
      <c r="P274" s="84"/>
      <c r="Q274" s="84"/>
      <c r="R274" s="84"/>
      <c r="S274" s="84"/>
      <c r="T274" s="84"/>
      <c r="U274" s="85"/>
      <c r="V274" s="85"/>
      <c r="W274" s="85"/>
      <c r="X274" s="112"/>
      <c r="Y274" s="147"/>
      <c r="AB274" s="285"/>
      <c r="AC274" s="285"/>
      <c r="AD274" s="287"/>
      <c r="AE274" s="285"/>
      <c r="AF274" s="285"/>
      <c r="AG274" s="285"/>
      <c r="AH274" s="285"/>
      <c r="AI274" s="285"/>
      <c r="AJ274" s="285"/>
      <c r="AP274" s="262"/>
      <c r="AQ274" s="243"/>
    </row>
    <row r="275" spans="1:44">
      <c r="A275" s="112"/>
      <c r="B275" s="105"/>
      <c r="C275" s="101"/>
      <c r="D275" s="33"/>
      <c r="E275" s="33"/>
      <c r="F275" s="83"/>
      <c r="G275" s="83"/>
      <c r="H275" s="84"/>
      <c r="I275" s="84"/>
      <c r="J275" s="84"/>
      <c r="K275" s="84"/>
      <c r="L275" s="84"/>
      <c r="M275" s="84"/>
      <c r="N275" s="84"/>
      <c r="O275" s="84"/>
      <c r="P275" s="84"/>
      <c r="Q275" s="84"/>
      <c r="R275" s="84"/>
      <c r="S275" s="84"/>
      <c r="T275" s="84"/>
      <c r="U275" s="85"/>
      <c r="V275" s="85"/>
      <c r="W275" s="85"/>
      <c r="X275" s="112"/>
      <c r="Y275" s="147"/>
      <c r="AB275" s="285"/>
      <c r="AC275" s="285"/>
      <c r="AD275" s="287"/>
      <c r="AE275" s="285"/>
      <c r="AF275" s="285"/>
      <c r="AG275" s="285"/>
      <c r="AH275" s="285"/>
      <c r="AI275" s="285"/>
      <c r="AJ275" s="285"/>
      <c r="AP275" s="262"/>
      <c r="AQ275" s="243"/>
    </row>
    <row r="276" spans="1:44">
      <c r="A276" s="112"/>
      <c r="B276" s="112"/>
      <c r="C276" s="112"/>
      <c r="D276" s="112"/>
      <c r="E276" s="112"/>
      <c r="F276" s="112"/>
      <c r="G276" s="112"/>
      <c r="H276" s="112"/>
      <c r="I276" s="112"/>
      <c r="J276" s="112"/>
      <c r="K276" s="112"/>
      <c r="L276" s="84"/>
      <c r="M276" s="84"/>
      <c r="N276" s="84"/>
      <c r="O276" s="84"/>
      <c r="P276" s="84"/>
      <c r="Q276" s="84"/>
      <c r="R276" s="84"/>
      <c r="S276" s="84"/>
      <c r="T276" s="84"/>
      <c r="U276" s="85"/>
      <c r="V276" s="85"/>
      <c r="W276" s="85"/>
      <c r="X276" s="112"/>
      <c r="Y276" s="147"/>
      <c r="AB276" s="285"/>
      <c r="AC276" s="285"/>
      <c r="AD276" s="287"/>
      <c r="AE276" s="285"/>
      <c r="AF276" s="285"/>
      <c r="AG276" s="285"/>
      <c r="AH276" s="285"/>
      <c r="AI276" s="285"/>
      <c r="AJ276" s="285"/>
      <c r="AP276" s="262"/>
      <c r="AQ276" s="243"/>
    </row>
    <row r="277" spans="1:44" ht="72" customHeight="1">
      <c r="A277" s="109" t="s">
        <v>247</v>
      </c>
      <c r="B277" s="109" t="s">
        <v>395</v>
      </c>
      <c r="C277" s="109" t="s">
        <v>394</v>
      </c>
      <c r="D277" s="109" t="s">
        <v>231</v>
      </c>
      <c r="E277" s="109" t="s">
        <v>392</v>
      </c>
      <c r="F277" s="109" t="s">
        <v>393</v>
      </c>
      <c r="G277" s="151" t="s">
        <v>283</v>
      </c>
      <c r="H277" s="112"/>
      <c r="I277" s="112"/>
      <c r="J277" s="112"/>
      <c r="K277" s="112"/>
      <c r="L277" s="84"/>
      <c r="M277" s="84"/>
      <c r="N277" s="84"/>
      <c r="O277" s="84"/>
      <c r="P277" s="84"/>
      <c r="Q277" s="84"/>
      <c r="R277" s="84"/>
      <c r="S277" s="84"/>
      <c r="T277" s="84"/>
      <c r="U277" s="85"/>
      <c r="V277" s="85"/>
      <c r="W277" s="85"/>
      <c r="X277" s="112"/>
      <c r="Y277" s="147"/>
      <c r="AB277" s="285"/>
      <c r="AC277" s="285"/>
      <c r="AD277" s="287"/>
      <c r="AE277" s="285"/>
      <c r="AF277" s="285"/>
      <c r="AG277" s="285"/>
      <c r="AH277" s="285"/>
      <c r="AI277" s="285"/>
      <c r="AJ277" s="285"/>
      <c r="AP277" s="262"/>
      <c r="AQ277" s="243"/>
    </row>
    <row r="278" spans="1:44">
      <c r="A278" s="196" t="s">
        <v>248</v>
      </c>
      <c r="B278" s="189" t="e">
        <f>(LOOKUP($C$41,'Info Tables'!A752:A791,'Info Tables'!C752:C791))</f>
        <v>#N/A</v>
      </c>
      <c r="C278" s="189" t="e">
        <f>(LOOKUP($C$41,'Info Tables'!A802:A841,'Info Tables'!C802:C841))</f>
        <v>#N/A</v>
      </c>
      <c r="D278" s="188" t="e">
        <f>$D$81+$F$81</f>
        <v>#N/A</v>
      </c>
      <c r="E278" s="189" t="e">
        <f>IF(B278="None",0,B278*D278)</f>
        <v>#N/A</v>
      </c>
      <c r="F278" s="189" t="e">
        <f>IF(C278="None",0,C278*D278)</f>
        <v>#N/A</v>
      </c>
      <c r="G278" s="407" t="s">
        <v>284</v>
      </c>
      <c r="H278" s="112"/>
      <c r="I278" s="112"/>
      <c r="J278" s="112"/>
      <c r="K278" s="112"/>
      <c r="L278" s="84"/>
      <c r="M278" s="84"/>
      <c r="N278" s="84"/>
      <c r="O278" s="84"/>
      <c r="P278" s="84"/>
      <c r="Q278" s="84"/>
      <c r="R278" s="84"/>
      <c r="S278" s="84"/>
      <c r="T278" s="84"/>
      <c r="U278" s="85"/>
      <c r="V278" s="85"/>
      <c r="W278" s="85"/>
      <c r="X278" s="112"/>
      <c r="Y278" s="147"/>
      <c r="AB278" s="285"/>
      <c r="AC278" s="285"/>
      <c r="AD278" s="287"/>
      <c r="AE278" s="285"/>
      <c r="AF278" s="285"/>
      <c r="AG278" s="285"/>
      <c r="AH278" s="285"/>
      <c r="AI278" s="285"/>
      <c r="AJ278" s="285"/>
      <c r="AP278" s="262"/>
      <c r="AQ278" s="243"/>
    </row>
    <row r="279" spans="1:44">
      <c r="A279" s="196" t="s">
        <v>249</v>
      </c>
      <c r="B279" s="189" t="e">
        <f>(LOOKUP($C$41,'Info Tables'!A852:A891,'Info Tables'!C852:C891))</f>
        <v>#N/A</v>
      </c>
      <c r="C279" s="189" t="e">
        <f>(LOOKUP($C$41,'Info Tables'!A902:A941,'Info Tables'!C902:C941))</f>
        <v>#N/A</v>
      </c>
      <c r="D279" s="188" t="e">
        <f t="shared" ref="D279:D285" si="8">$D$81+$F$81</f>
        <v>#N/A</v>
      </c>
      <c r="E279" s="189" t="e">
        <f>IF(B279="None",0,B279*D279)</f>
        <v>#N/A</v>
      </c>
      <c r="F279" s="189" t="e">
        <f t="shared" ref="F279:F285" si="9">IF(C279="None",0,C279*D279)</f>
        <v>#N/A</v>
      </c>
      <c r="G279" s="408"/>
      <c r="H279" s="112"/>
      <c r="I279" s="112"/>
      <c r="J279" s="112"/>
      <c r="K279" s="112"/>
      <c r="L279" s="84"/>
      <c r="M279" s="84"/>
      <c r="N279" s="84"/>
      <c r="O279" s="84"/>
      <c r="P279" s="84"/>
      <c r="Q279" s="84"/>
      <c r="R279" s="84"/>
      <c r="S279" s="84"/>
      <c r="T279" s="84"/>
      <c r="U279" s="85"/>
      <c r="V279" s="85"/>
      <c r="W279" s="85"/>
      <c r="X279" s="112"/>
      <c r="Y279" s="147"/>
      <c r="AB279" s="285"/>
      <c r="AC279" s="285"/>
      <c r="AD279" s="287"/>
      <c r="AE279" s="285"/>
      <c r="AF279" s="285"/>
      <c r="AG279" s="285"/>
      <c r="AH279" s="285"/>
      <c r="AI279" s="285"/>
      <c r="AJ279" s="285"/>
      <c r="AP279" s="262"/>
      <c r="AQ279" s="243"/>
    </row>
    <row r="280" spans="1:44">
      <c r="A280" s="196" t="s">
        <v>275</v>
      </c>
      <c r="B280" s="189" t="e">
        <f>IF(B278="None",0,IF(AND(LOOKUP($C$41,'Info Tables'!A752:A791,'Info Tables'!C752:C791)="None",LOOKUP($C$41,'Info Tables'!A752:A791,'Info Tables'!E752:E791)="None"),"None",IF(AND(LOOKUP($C$41,'Info Tables'!A752:A791,'Info Tables'!C752:C791)="None",LOOKUP($C$41,'Info Tables'!A752:A791,'Info Tables'!E752:E791)&lt;&gt;"None"),LOOKUP($C$41,'Info Tables'!A752:A791,'Info Tables'!E752:E791),IF(AND(LOOKUP($C$41,'Info Tables'!A752:A791,'Info Tables'!C752:C791)&lt;&gt;"None",LOOKUP($C$41,'Info Tables'!A752:A791,'Info Tables'!E752:E791)="None"),LOOKUP($C$41,'Info Tables'!A752:A791,'Info Tables'!C752:C791),LOOKUP($C$41,'Info Tables'!A752:A791,'Info Tables'!C752:C791)+LOOKUP($C$41,'Info Tables'!A752:A791,'Info Tables'!E752:E791)))))</f>
        <v>#N/A</v>
      </c>
      <c r="C280" s="189" t="e">
        <f>IF(C278="None",0,IF(AND(LOOKUP($C$41,'Info Tables'!A802:A841,'Info Tables'!C802:C841)="None",LOOKUP($C$41,'Info Tables'!A802:A841,'Info Tables'!E802:E841)="None"),"None",IF(AND(LOOKUP($C$41,'Info Tables'!A802:A841,'Info Tables'!C802:C841)="None",LOOKUP($C$41,'Info Tables'!A802:A841,'Info Tables'!E802:E841)&lt;&gt;"None"),LOOKUP($C$41,'Info Tables'!A802:A841,'Info Tables'!E802:E841),IF(AND(LOOKUP($C$41,'Info Tables'!A802:A841,'Info Tables'!C802:C841)&lt;&gt;"None",LOOKUP($C$41,'Info Tables'!A802:A841,'Info Tables'!E802:E841)="None"),LOOKUP($C$41,'Info Tables'!A802:A841,'Info Tables'!C802:C841),LOOKUP($C$41,'Info Tables'!A802:A841,'Info Tables'!C802:C841)+LOOKUP($C$41,'Info Tables'!A802:A841,'Info Tables'!E802:E841)))))</f>
        <v>#N/A</v>
      </c>
      <c r="D280" s="188" t="e">
        <f t="shared" si="8"/>
        <v>#N/A</v>
      </c>
      <c r="E280" s="189" t="e">
        <f t="shared" ref="E280:E285" si="10">IF(B280="None",0,B280*D280)</f>
        <v>#N/A</v>
      </c>
      <c r="F280" s="189" t="e">
        <f t="shared" si="9"/>
        <v>#N/A</v>
      </c>
      <c r="G280" s="408"/>
      <c r="H280" s="84"/>
      <c r="I280" s="84"/>
      <c r="J280" s="84"/>
      <c r="K280" s="84"/>
      <c r="L280" s="84"/>
      <c r="M280" s="84"/>
      <c r="N280" s="84"/>
      <c r="O280" s="84"/>
      <c r="P280" s="84"/>
      <c r="Q280" s="84"/>
      <c r="R280" s="84"/>
      <c r="S280" s="84"/>
      <c r="T280" s="84"/>
      <c r="U280" s="85"/>
      <c r="V280" s="85"/>
      <c r="W280" s="85"/>
      <c r="X280" s="112"/>
      <c r="Y280" s="147"/>
      <c r="AB280" s="285"/>
      <c r="AC280" s="285"/>
      <c r="AD280" s="287"/>
      <c r="AE280" s="285"/>
      <c r="AF280" s="285"/>
      <c r="AG280" s="285"/>
      <c r="AH280" s="285"/>
      <c r="AI280" s="285"/>
      <c r="AJ280" s="285"/>
      <c r="AP280" s="262"/>
      <c r="AQ280" s="243"/>
    </row>
    <row r="281" spans="1:44" ht="13.5" thickBot="1">
      <c r="A281" s="212" t="s">
        <v>276</v>
      </c>
      <c r="B281" s="214" t="e">
        <f>IF(B279="None",0,B279)</f>
        <v>#N/A</v>
      </c>
      <c r="C281" s="214" t="e">
        <f>IF(C279="None",0,C279)</f>
        <v>#N/A</v>
      </c>
      <c r="D281" s="213" t="e">
        <f t="shared" si="8"/>
        <v>#N/A</v>
      </c>
      <c r="E281" s="214" t="e">
        <f t="shared" si="10"/>
        <v>#N/A</v>
      </c>
      <c r="F281" s="214" t="e">
        <f t="shared" si="9"/>
        <v>#N/A</v>
      </c>
      <c r="G281" s="408"/>
      <c r="H281" s="84"/>
      <c r="I281" s="84"/>
      <c r="J281" s="84"/>
      <c r="K281" s="84"/>
      <c r="L281" s="84"/>
      <c r="M281" s="84"/>
      <c r="N281" s="84"/>
      <c r="O281" s="84"/>
      <c r="P281" s="84"/>
      <c r="Q281" s="84"/>
      <c r="R281" s="84"/>
      <c r="S281" s="84"/>
      <c r="T281" s="84"/>
      <c r="U281" s="85"/>
      <c r="V281" s="85"/>
      <c r="W281" s="85"/>
      <c r="X281" s="112"/>
      <c r="Y281" s="147"/>
      <c r="AB281" s="285"/>
      <c r="AC281" s="285"/>
      <c r="AD281" s="287"/>
      <c r="AE281" s="285"/>
      <c r="AF281" s="285"/>
      <c r="AG281" s="285"/>
      <c r="AH281" s="285"/>
      <c r="AI281" s="285"/>
      <c r="AJ281" s="285"/>
      <c r="AP281" s="262"/>
      <c r="AQ281" s="243"/>
    </row>
    <row r="282" spans="1:44">
      <c r="A282" s="209" t="s">
        <v>250</v>
      </c>
      <c r="B282" s="215" t="e">
        <f>(LOOKUP($C$41,'Info Tables'!A752:A791,'Info Tables'!D752:D791))</f>
        <v>#N/A</v>
      </c>
      <c r="C282" s="215" t="e">
        <f>(LOOKUP($C$41,'Info Tables'!A802:A841,'Info Tables'!D802:D841))</f>
        <v>#N/A</v>
      </c>
      <c r="D282" s="210" t="e">
        <f t="shared" si="8"/>
        <v>#N/A</v>
      </c>
      <c r="E282" s="211" t="e">
        <f t="shared" si="10"/>
        <v>#N/A</v>
      </c>
      <c r="F282" s="211" t="e">
        <f t="shared" si="9"/>
        <v>#N/A</v>
      </c>
      <c r="G282" s="407" t="s">
        <v>285</v>
      </c>
      <c r="H282" s="84"/>
      <c r="I282" s="84"/>
      <c r="J282" s="84"/>
      <c r="K282" s="84"/>
      <c r="L282" s="84"/>
      <c r="M282" s="84"/>
      <c r="N282" s="84"/>
      <c r="O282" s="84"/>
      <c r="P282" s="84"/>
      <c r="Q282" s="84"/>
      <c r="R282" s="84"/>
      <c r="S282" s="84"/>
      <c r="T282" s="84"/>
      <c r="U282" s="85"/>
      <c r="V282" s="85"/>
      <c r="W282" s="85"/>
      <c r="X282" s="112"/>
      <c r="Y282" s="147"/>
      <c r="AB282" s="285"/>
      <c r="AC282" s="285"/>
      <c r="AD282" s="287"/>
      <c r="AE282" s="285"/>
      <c r="AF282" s="285"/>
      <c r="AG282" s="285"/>
      <c r="AH282" s="285"/>
      <c r="AI282" s="285"/>
      <c r="AJ282" s="285"/>
      <c r="AP282" s="262"/>
      <c r="AQ282" s="243"/>
    </row>
    <row r="283" spans="1:44">
      <c r="A283" s="196" t="s">
        <v>251</v>
      </c>
      <c r="B283" s="216" t="e">
        <f>(LOOKUP($C$41,'Info Tables'!A852:A891,'Info Tables'!D852:D891))</f>
        <v>#N/A</v>
      </c>
      <c r="C283" s="216" t="e">
        <f>(LOOKUP($C$41,'Info Tables'!A902:A942,'Info Tables'!D902:D941))</f>
        <v>#N/A</v>
      </c>
      <c r="D283" s="188" t="e">
        <f t="shared" si="8"/>
        <v>#N/A</v>
      </c>
      <c r="E283" s="189" t="e">
        <f t="shared" si="10"/>
        <v>#N/A</v>
      </c>
      <c r="F283" s="189" t="e">
        <f t="shared" si="9"/>
        <v>#N/A</v>
      </c>
      <c r="G283" s="408"/>
      <c r="H283" s="84"/>
      <c r="I283" s="84"/>
      <c r="J283" s="84"/>
      <c r="K283" s="84"/>
      <c r="L283" s="84"/>
      <c r="M283" s="84"/>
      <c r="N283" s="84"/>
      <c r="O283" s="84"/>
      <c r="P283" s="84"/>
      <c r="Q283" s="84"/>
      <c r="R283" s="84"/>
      <c r="S283" s="84"/>
      <c r="T283" s="84"/>
      <c r="U283" s="85"/>
      <c r="V283" s="85"/>
      <c r="W283" s="85"/>
      <c r="X283" s="112"/>
      <c r="Y283" s="147"/>
      <c r="AB283" s="285"/>
      <c r="AC283" s="285"/>
      <c r="AD283" s="287"/>
      <c r="AE283" s="285"/>
      <c r="AF283" s="285"/>
      <c r="AG283" s="285"/>
      <c r="AH283" s="285"/>
      <c r="AI283" s="285"/>
      <c r="AJ283" s="285"/>
      <c r="AP283" s="262"/>
      <c r="AQ283" s="243"/>
    </row>
    <row r="284" spans="1:44">
      <c r="A284" s="196" t="s">
        <v>277</v>
      </c>
      <c r="B284" s="216" t="e">
        <f>IF(B286="None",0,IF(AND(LOOKUP($C$41,'Info Tables'!A752:A791,'Info Tables'!D752:D791)="None",LOOKUP($C$41,'Info Tables'!A752:A791,'Info Tables'!E752:E791)="None"),"None",IF(AND(LOOKUP($C$41,'Info Tables'!A752:A791,'Info Tables'!D752:D791)="None",LOOKUP($C$41,'Info Tables'!A752:A791,'Info Tables'!E752:E791)&lt;&gt;"None"),LOOKUP($C$41,'Info Tables'!A752:A791,'Info Tables'!E752:E791),IF(AND(LOOKUP($C$41,'Info Tables'!A752:A791,'Info Tables'!E752:E791)="None",LOOKUP($C$41,'Info Tables'!A752:A791,'Info Tables'!D752:D791)&lt;&gt;"None"),LOOKUP($C$41,'Info Tables'!A752:A791,'Info Tables'!D752:D791),LOOKUP($C$41,'Info Tables'!A752:A791,'Info Tables'!D752:D791)+LOOKUP($C$41,'Info Tables'!A752:A791,'Info Tables'!E752:E791)))))</f>
        <v>#N/A</v>
      </c>
      <c r="C284" s="216" t="e">
        <f>IF(C286="None",0,IF(AND(LOOKUP($C$41,'Info Tables'!A802:A841,'Info Tables'!D802:D841)="None",LOOKUP($C$41,'Info Tables'!A802:A841,'Info Tables'!E802:E841)="None"),"Nine",IF(AND(LOOKUP($C$41,'Info Tables'!A802:A841,'Info Tables'!D802:D841)="None",LOOKUP($C$41,'Info Tables'!A802:A841,'Info Tables'!E802:E841)&lt;&gt;"None"),LOOKUP($C$41,'Info Tables'!A802:A841,'Info Tables'!E802:E841),IF(AND(LOOKUP($C$41,'Info Tables'!A802:A841,'Info Tables'!D802:D841)&lt;&gt;"None",LOOKUP($C$41,'Info Tables'!A802:A841,'Info Tables'!E802:E841)="None"),LOOKUP($C$41,'Info Tables'!A802:A841,'Info Tables'!D802:D841),LOOKUP($C$41,'Info Tables'!A802:A841,'Info Tables'!D802:D841)+LOOKUP($C$41,'Info Tables'!A802:A841,'Info Tables'!E802:E841)))))</f>
        <v>#N/A</v>
      </c>
      <c r="D284" s="188" t="e">
        <f t="shared" si="8"/>
        <v>#N/A</v>
      </c>
      <c r="E284" s="189" t="e">
        <f t="shared" si="10"/>
        <v>#N/A</v>
      </c>
      <c r="F284" s="189" t="e">
        <f t="shared" si="9"/>
        <v>#N/A</v>
      </c>
      <c r="G284" s="408"/>
      <c r="H284" s="84"/>
      <c r="I284" s="84"/>
      <c r="J284" s="84"/>
      <c r="K284" s="84"/>
      <c r="L284" s="84"/>
      <c r="M284" s="84"/>
      <c r="N284" s="84"/>
      <c r="O284" s="84"/>
      <c r="P284" s="84"/>
      <c r="Q284" s="84"/>
      <c r="R284" s="84"/>
      <c r="S284" s="84"/>
      <c r="T284" s="84"/>
      <c r="U284" s="85"/>
      <c r="V284" s="85"/>
      <c r="W284" s="85"/>
      <c r="X284" s="112"/>
      <c r="Y284" s="147"/>
      <c r="AB284" s="285"/>
      <c r="AC284" s="285"/>
      <c r="AD284" s="287"/>
      <c r="AE284" s="285"/>
      <c r="AF284" s="285"/>
      <c r="AG284" s="285"/>
      <c r="AH284" s="285"/>
      <c r="AI284" s="285"/>
      <c r="AJ284" s="285"/>
      <c r="AP284" s="262"/>
      <c r="AQ284" s="243"/>
    </row>
    <row r="285" spans="1:44">
      <c r="A285" s="196" t="s">
        <v>278</v>
      </c>
      <c r="B285" s="216" t="e">
        <f>IF(B283="None",0,B283)</f>
        <v>#N/A</v>
      </c>
      <c r="C285" s="216" t="e">
        <f>IF(C283="None",0,C283)</f>
        <v>#N/A</v>
      </c>
      <c r="D285" s="188" t="e">
        <f t="shared" si="8"/>
        <v>#N/A</v>
      </c>
      <c r="E285" s="189" t="e">
        <f t="shared" si="10"/>
        <v>#N/A</v>
      </c>
      <c r="F285" s="189" t="e">
        <f t="shared" si="9"/>
        <v>#N/A</v>
      </c>
      <c r="G285" s="408"/>
      <c r="H285" s="84"/>
      <c r="I285" s="84"/>
      <c r="J285" s="84"/>
      <c r="K285" s="84"/>
      <c r="L285" s="84"/>
      <c r="M285" s="84"/>
      <c r="N285" s="84"/>
      <c r="O285" s="84"/>
      <c r="P285" s="84"/>
      <c r="Q285" s="84"/>
      <c r="R285" s="84"/>
      <c r="S285" s="84"/>
      <c r="T285" s="84"/>
      <c r="U285" s="85"/>
      <c r="V285" s="85"/>
      <c r="W285" s="85"/>
      <c r="X285" s="112"/>
      <c r="Y285" s="147"/>
      <c r="AB285" s="285"/>
      <c r="AC285" s="285"/>
      <c r="AD285" s="287"/>
      <c r="AE285" s="285"/>
      <c r="AF285" s="285"/>
      <c r="AG285" s="285"/>
      <c r="AH285" s="285"/>
      <c r="AI285" s="285"/>
      <c r="AJ285" s="285"/>
      <c r="AP285" s="262"/>
      <c r="AQ285" s="243"/>
    </row>
    <row r="286" spans="1:44">
      <c r="A286" s="100"/>
      <c r="B286" s="197"/>
      <c r="C286" s="198"/>
      <c r="D286" s="199"/>
      <c r="E286" s="199"/>
      <c r="F286" s="198"/>
      <c r="G286" s="198"/>
      <c r="H286" s="153"/>
      <c r="I286" s="153"/>
      <c r="J286" s="153"/>
      <c r="K286" s="200"/>
      <c r="L286" s="200"/>
      <c r="M286" s="200"/>
      <c r="N286" s="84"/>
      <c r="O286" s="84"/>
      <c r="P286" s="84"/>
      <c r="Q286" s="84"/>
      <c r="R286" s="84"/>
      <c r="S286" s="84"/>
      <c r="T286" s="84"/>
      <c r="U286" s="85"/>
      <c r="V286" s="85"/>
      <c r="W286" s="85"/>
      <c r="X286" s="112"/>
      <c r="Y286" s="147"/>
      <c r="AB286" s="285"/>
      <c r="AC286" s="285"/>
      <c r="AD286" s="287"/>
      <c r="AE286" s="285"/>
      <c r="AF286" s="285"/>
      <c r="AG286" s="285"/>
      <c r="AH286" s="285"/>
      <c r="AI286" s="285"/>
      <c r="AJ286" s="285"/>
      <c r="AP286" s="262"/>
      <c r="AQ286" s="243"/>
    </row>
    <row r="287" spans="1:44">
      <c r="A287" s="100"/>
      <c r="B287" s="100"/>
      <c r="C287" s="100"/>
      <c r="D287" s="100"/>
      <c r="E287" s="100"/>
      <c r="F287" s="100"/>
      <c r="G287" s="100"/>
      <c r="H287" s="153"/>
      <c r="I287" s="153"/>
      <c r="J287" s="153"/>
      <c r="K287" s="100"/>
      <c r="L287" s="100"/>
      <c r="M287" s="100"/>
      <c r="N287" s="84"/>
      <c r="O287" s="84"/>
      <c r="P287" s="84"/>
      <c r="Q287" s="84"/>
      <c r="R287" s="84"/>
      <c r="S287" s="84"/>
      <c r="T287" s="84"/>
      <c r="U287" s="85"/>
      <c r="V287" s="85"/>
      <c r="W287" s="85"/>
      <c r="X287" s="112"/>
      <c r="Y287" s="147"/>
      <c r="AB287" s="285"/>
      <c r="AC287" s="285"/>
      <c r="AD287" s="287"/>
      <c r="AE287" s="285"/>
      <c r="AF287" s="285"/>
      <c r="AG287" s="285"/>
      <c r="AH287" s="285"/>
      <c r="AI287" s="285"/>
      <c r="AJ287" s="285"/>
      <c r="AP287" s="262"/>
      <c r="AQ287" s="243"/>
    </row>
    <row r="288" spans="1:44">
      <c r="A288" s="100"/>
      <c r="B288" s="100"/>
      <c r="C288" s="100"/>
      <c r="D288" s="100"/>
      <c r="E288" s="100"/>
      <c r="F288" s="100"/>
      <c r="G288" s="100"/>
      <c r="H288" s="100"/>
      <c r="I288" s="100"/>
      <c r="J288" s="100"/>
      <c r="K288" s="100"/>
      <c r="L288" s="100"/>
      <c r="M288" s="100"/>
      <c r="N288" s="84"/>
      <c r="O288" s="84"/>
      <c r="P288" s="84"/>
      <c r="Q288" s="84"/>
      <c r="R288" s="84"/>
      <c r="S288" s="84"/>
      <c r="T288" s="84"/>
      <c r="U288" s="85"/>
      <c r="V288" s="85"/>
      <c r="W288" s="85"/>
      <c r="X288" s="112"/>
      <c r="Y288" s="147"/>
      <c r="AC288" s="285"/>
      <c r="AD288" s="287"/>
      <c r="AE288" s="285"/>
      <c r="AF288" s="285"/>
      <c r="AG288" s="285"/>
      <c r="AH288" s="285"/>
      <c r="AI288" s="285"/>
      <c r="AJ288" s="285"/>
      <c r="AP288" s="262"/>
      <c r="AQ288" s="243"/>
    </row>
    <row r="289" spans="1:37">
      <c r="A289" s="98" t="s">
        <v>396</v>
      </c>
      <c r="B289" s="100"/>
      <c r="C289" s="100" t="s">
        <v>252</v>
      </c>
      <c r="D289" s="100"/>
      <c r="E289" s="100"/>
      <c r="F289" s="100"/>
      <c r="G289" s="100"/>
      <c r="H289" s="100"/>
      <c r="I289" s="100"/>
      <c r="J289" s="100"/>
      <c r="K289" s="100"/>
      <c r="L289" s="100"/>
      <c r="M289" s="100"/>
      <c r="N289" s="112"/>
      <c r="O289" s="112"/>
      <c r="P289" s="112"/>
      <c r="Q289" s="112"/>
      <c r="R289" s="112"/>
      <c r="S289" s="112"/>
      <c r="T289" s="112"/>
      <c r="U289" s="112"/>
      <c r="V289" s="112"/>
      <c r="W289" s="85"/>
      <c r="X289" s="112"/>
      <c r="Y289" s="147"/>
      <c r="Z289" s="279"/>
      <c r="AC289" s="285"/>
      <c r="AD289" s="285"/>
      <c r="AE289" s="285"/>
      <c r="AF289" s="285"/>
      <c r="AG289" s="285"/>
      <c r="AH289" s="285"/>
      <c r="AI289" s="285"/>
      <c r="AJ289" s="285"/>
      <c r="AK289" s="285"/>
    </row>
    <row r="290" spans="1:37" ht="48">
      <c r="A290" s="203" t="s">
        <v>98</v>
      </c>
      <c r="B290" s="12" t="s">
        <v>153</v>
      </c>
      <c r="C290" s="12" t="s">
        <v>154</v>
      </c>
      <c r="D290" s="12" t="s">
        <v>253</v>
      </c>
      <c r="E290" s="12" t="s">
        <v>254</v>
      </c>
      <c r="F290" s="12" t="s">
        <v>255</v>
      </c>
      <c r="G290" s="12" t="s">
        <v>256</v>
      </c>
      <c r="H290" s="12" t="s">
        <v>257</v>
      </c>
      <c r="I290" s="12" t="s">
        <v>258</v>
      </c>
      <c r="J290" s="5" t="s">
        <v>259</v>
      </c>
      <c r="K290" s="5" t="s">
        <v>260</v>
      </c>
      <c r="L290" s="49" t="s">
        <v>261</v>
      </c>
      <c r="M290" s="49" t="s">
        <v>262</v>
      </c>
      <c r="N290" s="112"/>
      <c r="O290" s="112"/>
      <c r="P290" s="112"/>
      <c r="Q290" s="112"/>
      <c r="R290" s="112"/>
      <c r="S290" s="112"/>
      <c r="T290" s="112"/>
      <c r="U290" s="112"/>
      <c r="V290" s="112"/>
      <c r="W290" s="112"/>
      <c r="X290" s="112"/>
      <c r="Y290" s="147"/>
      <c r="Z290" s="279"/>
      <c r="AC290" s="285"/>
      <c r="AD290" s="286"/>
      <c r="AE290" s="286"/>
      <c r="AF290" s="286"/>
      <c r="AG290" s="286"/>
      <c r="AH290" s="285"/>
      <c r="AI290" s="285"/>
      <c r="AJ290" s="285"/>
      <c r="AK290" s="285"/>
    </row>
    <row r="291" spans="1:37">
      <c r="A291" s="201" t="s">
        <v>20</v>
      </c>
      <c r="B291" s="189" t="e">
        <f>IF(OR(D269="Tension",D269="Reversal"),I269, "N/A")</f>
        <v>#N/A</v>
      </c>
      <c r="C291" s="189" t="e">
        <f>IF(OR(D269="Tension",D269="Reversal"),J269, "N/A")</f>
        <v>#N/A</v>
      </c>
      <c r="D291" s="219" t="e">
        <f>IF($B$279="None",0,$B$259*E278)</f>
        <v>#N/A</v>
      </c>
      <c r="E291" s="219" t="e">
        <f>$B$258*F279</f>
        <v>#N/A</v>
      </c>
      <c r="F291" s="219" t="e">
        <f>D291+E291</f>
        <v>#N/A</v>
      </c>
      <c r="G291" s="216" t="e">
        <f>$B$259*E279</f>
        <v>#N/A</v>
      </c>
      <c r="H291" s="216" t="e">
        <f>$B$258*F278</f>
        <v>#N/A</v>
      </c>
      <c r="I291" s="216" t="e">
        <f>G291+H291</f>
        <v>#N/A</v>
      </c>
      <c r="J291" s="57" t="e">
        <f>IF(B291="N/A","N/A",IF(B291&gt;F291,"NG","OK"))</f>
        <v>#N/A</v>
      </c>
      <c r="K291" s="57" t="e">
        <f>IF(C291="N/A","N/A",IF(C291&gt;I291,"NG","OK"))</f>
        <v>#N/A</v>
      </c>
      <c r="L291" s="61" t="e">
        <f>IF(B291="N/A","N/A",F291/B291)</f>
        <v>#N/A</v>
      </c>
      <c r="M291" s="61" t="e">
        <f>IF(C291="N/A","N/A",I291/C291)</f>
        <v>#N/A</v>
      </c>
      <c r="N291" s="112"/>
      <c r="O291" s="112"/>
      <c r="P291" s="112"/>
      <c r="Q291" s="112"/>
      <c r="R291" s="112"/>
      <c r="S291" s="112"/>
      <c r="T291" s="112"/>
      <c r="U291" s="112"/>
      <c r="V291" s="112"/>
      <c r="W291" s="112"/>
      <c r="X291" s="112"/>
      <c r="Y291" s="147"/>
      <c r="Z291" s="279"/>
      <c r="AB291" s="280" t="e">
        <f>IF(OR(AD291="N/A",AE291="N/A"),0,1)</f>
        <v>#N/A</v>
      </c>
      <c r="AC291" s="285" t="e">
        <f>IF(OR(AD291="NG",AE291="NG",AF291="NG",AG291="NG",AH291="NG"),1,0)</f>
        <v>#N/A</v>
      </c>
      <c r="AD291" s="286" t="e">
        <f t="shared" ref="AD291:AG294" si="11">J291</f>
        <v>#N/A</v>
      </c>
      <c r="AE291" s="286" t="e">
        <f t="shared" si="11"/>
        <v>#N/A</v>
      </c>
      <c r="AF291" s="286" t="e">
        <f t="shared" si="11"/>
        <v>#N/A</v>
      </c>
      <c r="AG291" s="286" t="e">
        <f t="shared" si="11"/>
        <v>#N/A</v>
      </c>
      <c r="AH291" s="285"/>
      <c r="AI291" s="285"/>
      <c r="AJ291" s="285"/>
      <c r="AK291" s="285"/>
    </row>
    <row r="292" spans="1:37" ht="12.75" customHeight="1">
      <c r="A292" s="201" t="s">
        <v>263</v>
      </c>
      <c r="B292" s="189" t="e">
        <f>IF(OR(D269="Tension",D269="Reversal"),IF(OR(D271="Tension",D271="Reversal"),I269+I271,I269), "N/A")</f>
        <v>#N/A</v>
      </c>
      <c r="C292" s="189" t="e">
        <f>IF(OR(D269="Tension",D269="Reversal"),IF(OR(D271="Tension",D271="Reversal"),J269+J271,J269), "N/A")</f>
        <v>#N/A</v>
      </c>
      <c r="D292" s="219" t="e">
        <f>IF($B$279="None",0,$B$259*E280)</f>
        <v>#N/A</v>
      </c>
      <c r="E292" s="219" t="e">
        <f>$B$258*F281</f>
        <v>#N/A</v>
      </c>
      <c r="F292" s="219" t="e">
        <f>D292+E292</f>
        <v>#N/A</v>
      </c>
      <c r="G292" s="216" t="e">
        <f>$B$259*E281</f>
        <v>#N/A</v>
      </c>
      <c r="H292" s="216" t="e">
        <f>$B$258*F280</f>
        <v>#N/A</v>
      </c>
      <c r="I292" s="216" t="e">
        <f>G292+H292</f>
        <v>#N/A</v>
      </c>
      <c r="J292" s="57" t="e">
        <f>IF(B292="N/A","N/A",IF(B292&gt;F292,"NG","OK"))</f>
        <v>#N/A</v>
      </c>
      <c r="K292" s="57" t="e">
        <f>IF(C292="N/A","N/A",IF(C292&gt;I292,"NG","OK"))</f>
        <v>#N/A</v>
      </c>
      <c r="L292" s="61" t="e">
        <f>IF(B292="N/A","N/A",F292/B292)</f>
        <v>#N/A</v>
      </c>
      <c r="M292" s="61" t="e">
        <f>IF(C292="N/A","N/A",I292/C292)</f>
        <v>#N/A</v>
      </c>
      <c r="N292" s="112"/>
      <c r="O292" s="112"/>
      <c r="P292" s="112"/>
      <c r="Q292" s="112"/>
      <c r="R292" s="112"/>
      <c r="S292" s="112"/>
      <c r="T292" s="112"/>
      <c r="U292" s="112"/>
      <c r="V292" s="112"/>
      <c r="W292" s="112"/>
      <c r="X292" s="112"/>
      <c r="Y292" s="147"/>
      <c r="Z292" s="279"/>
      <c r="AB292" s="280" t="e">
        <f>IF(OR(AD292="N/A",AE292="N/A"),0,1)</f>
        <v>#N/A</v>
      </c>
      <c r="AC292" s="285" t="e">
        <f>IF(OR(AD292="NG",AE292="NG",AF292="NG",AG292="NG",AH292="NG"),1,0)</f>
        <v>#N/A</v>
      </c>
      <c r="AD292" s="286" t="e">
        <f t="shared" si="11"/>
        <v>#N/A</v>
      </c>
      <c r="AE292" s="286" t="e">
        <f t="shared" si="11"/>
        <v>#N/A</v>
      </c>
      <c r="AF292" s="286" t="e">
        <f t="shared" si="11"/>
        <v>#N/A</v>
      </c>
      <c r="AG292" s="286" t="e">
        <f t="shared" si="11"/>
        <v>#N/A</v>
      </c>
      <c r="AH292" s="285"/>
      <c r="AI292" s="285"/>
      <c r="AJ292" s="285"/>
      <c r="AK292" s="285"/>
    </row>
    <row r="293" spans="1:37">
      <c r="A293" s="201" t="s">
        <v>21</v>
      </c>
      <c r="B293" s="189" t="e">
        <f>IF(OR(D270="Tension",D270="Reversal"),I270, "N/A")</f>
        <v>#N/A</v>
      </c>
      <c r="C293" s="189" t="e">
        <f>IF(OR(D270="Tension",D270="Reversal"),J270, "N/A")</f>
        <v>#N/A</v>
      </c>
      <c r="D293" s="219" t="e">
        <f>IF($B$279="None",0,$B$259*E282)</f>
        <v>#N/A</v>
      </c>
      <c r="E293" s="219" t="e">
        <f>$B$258*F283</f>
        <v>#N/A</v>
      </c>
      <c r="F293" s="219" t="e">
        <f>D293+E293</f>
        <v>#N/A</v>
      </c>
      <c r="G293" s="216" t="e">
        <f>$B$259*E283</f>
        <v>#N/A</v>
      </c>
      <c r="H293" s="216" t="e">
        <f>$B$258*F282</f>
        <v>#N/A</v>
      </c>
      <c r="I293" s="216" t="e">
        <f>G293+H293</f>
        <v>#N/A</v>
      </c>
      <c r="J293" s="57" t="e">
        <f>IF(B293="N/A","N/A",IF(B293&gt;F293,"NG","OK"))</f>
        <v>#N/A</v>
      </c>
      <c r="K293" s="57" t="e">
        <f>IF(C293="N/A","N/A",IF(C293&gt;I293,"NG","OK"))</f>
        <v>#N/A</v>
      </c>
      <c r="L293" s="61" t="e">
        <f>IF(B293="N/A","N/A",F293/B293)</f>
        <v>#N/A</v>
      </c>
      <c r="M293" s="61" t="e">
        <f>IF(C293="N/A","N/A",I293/C293)</f>
        <v>#N/A</v>
      </c>
      <c r="N293" s="112"/>
      <c r="O293" s="112"/>
      <c r="P293" s="112"/>
      <c r="Q293" s="112"/>
      <c r="R293" s="112"/>
      <c r="S293" s="112"/>
      <c r="T293" s="112"/>
      <c r="U293" s="112"/>
      <c r="V293" s="112"/>
      <c r="W293" s="112"/>
      <c r="X293" s="112"/>
      <c r="Y293" s="147"/>
      <c r="Z293" s="279"/>
      <c r="AB293" s="280" t="e">
        <f>IF(OR(AD293="N/A",AE293="N/A"),0,1)</f>
        <v>#N/A</v>
      </c>
      <c r="AC293" s="285" t="e">
        <f>IF(OR(AD293="NG",AE293="NG",AF293="NG",AG293="NG",AH293="NG"),1,0)</f>
        <v>#N/A</v>
      </c>
      <c r="AD293" s="286" t="e">
        <f t="shared" si="11"/>
        <v>#N/A</v>
      </c>
      <c r="AE293" s="286" t="e">
        <f t="shared" si="11"/>
        <v>#N/A</v>
      </c>
      <c r="AF293" s="286" t="e">
        <f t="shared" si="11"/>
        <v>#N/A</v>
      </c>
      <c r="AG293" s="286" t="e">
        <f t="shared" si="11"/>
        <v>#N/A</v>
      </c>
      <c r="AH293" s="285"/>
      <c r="AI293" s="285"/>
      <c r="AJ293" s="285"/>
      <c r="AK293" s="285"/>
    </row>
    <row r="294" spans="1:37">
      <c r="A294" s="201" t="s">
        <v>264</v>
      </c>
      <c r="B294" s="189" t="e">
        <f>IF(OR(D270="Tension",D270="Reversal"),IF(OR(D271="Tension",D271="Reversal"),I270+I271,I270), "N/A")</f>
        <v>#N/A</v>
      </c>
      <c r="C294" s="189" t="e">
        <f>IF(OR(D270="Tension",D270="Reversal"),IF(OR(D271="Tension",D271="Reversal"),J270+J271,J270), "N/A")</f>
        <v>#N/A</v>
      </c>
      <c r="D294" s="219" t="e">
        <f>IF($B$279="None",0,$B$259*E284)</f>
        <v>#N/A</v>
      </c>
      <c r="E294" s="219" t="e">
        <f>$B$258*F285</f>
        <v>#N/A</v>
      </c>
      <c r="F294" s="219" t="e">
        <f>D294+E294</f>
        <v>#N/A</v>
      </c>
      <c r="G294" s="216" t="e">
        <f>$B$259*E285</f>
        <v>#N/A</v>
      </c>
      <c r="H294" s="216" t="e">
        <f>$B$258*F284</f>
        <v>#N/A</v>
      </c>
      <c r="I294" s="216" t="e">
        <f>G294+H294</f>
        <v>#N/A</v>
      </c>
      <c r="J294" s="57" t="e">
        <f>IF(B294="N/A","N/A",IF(B294&gt;F294,"NG","OK"))</f>
        <v>#N/A</v>
      </c>
      <c r="K294" s="57" t="e">
        <f>IF(C294="N/A","N/A",IF(C294&gt;I294,"NG","OK"))</f>
        <v>#N/A</v>
      </c>
      <c r="L294" s="61" t="e">
        <f>IF(B294="N/A","N/A",F294/B294)</f>
        <v>#N/A</v>
      </c>
      <c r="M294" s="61" t="e">
        <f>IF(C294="N/A","N/A",I294/C294)</f>
        <v>#N/A</v>
      </c>
      <c r="N294" s="112"/>
      <c r="O294" s="112"/>
      <c r="P294" s="112"/>
      <c r="Q294" s="112"/>
      <c r="R294" s="112"/>
      <c r="S294" s="112"/>
      <c r="T294" s="112"/>
      <c r="U294" s="112"/>
      <c r="V294" s="112"/>
      <c r="W294" s="112"/>
      <c r="X294" s="112"/>
      <c r="Y294" s="147"/>
      <c r="Z294" s="279"/>
      <c r="AB294" s="280" t="e">
        <f>IF(OR(AD294="N/A",AE294="N/A"),0,1)</f>
        <v>#N/A</v>
      </c>
      <c r="AC294" s="285" t="e">
        <f>IF(OR(AD294="NG",AE294="NG",AF294="NG",AG294="NG",AH294="NG"),1,0)</f>
        <v>#N/A</v>
      </c>
      <c r="AD294" s="286" t="e">
        <f t="shared" si="11"/>
        <v>#N/A</v>
      </c>
      <c r="AE294" s="286" t="e">
        <f t="shared" si="11"/>
        <v>#N/A</v>
      </c>
      <c r="AF294" s="286" t="e">
        <f t="shared" si="11"/>
        <v>#N/A</v>
      </c>
      <c r="AG294" s="286" t="e">
        <f t="shared" si="11"/>
        <v>#N/A</v>
      </c>
      <c r="AH294" s="285"/>
      <c r="AI294" s="285"/>
      <c r="AJ294" s="285"/>
      <c r="AK294" s="285"/>
    </row>
    <row r="295" spans="1:37">
      <c r="A295" s="100"/>
      <c r="B295" s="100"/>
      <c r="C295" s="100"/>
      <c r="D295" s="100"/>
      <c r="E295" s="100"/>
      <c r="F295" s="100"/>
      <c r="G295" s="100"/>
      <c r="H295" s="100"/>
      <c r="I295" s="100"/>
      <c r="J295" s="100"/>
      <c r="K295" s="100"/>
      <c r="L295" s="100"/>
      <c r="M295" s="100"/>
      <c r="N295" s="112"/>
      <c r="O295" s="112"/>
      <c r="P295" s="112"/>
      <c r="Q295" s="112"/>
      <c r="R295" s="112"/>
      <c r="S295" s="112"/>
      <c r="T295" s="112"/>
      <c r="U295" s="112"/>
      <c r="V295" s="112"/>
      <c r="W295" s="112"/>
      <c r="X295" s="112"/>
      <c r="Y295" s="147"/>
      <c r="Z295" s="279"/>
      <c r="AC295" s="285" t="e">
        <f>IF(AND(AD295="N/A",AE295="N/A",AF295="N/A",AG295="N/A"),"N/A","OK")</f>
        <v>#N/A</v>
      </c>
      <c r="AD295" s="286" t="e">
        <f>IF(AND(AD291="N/A",AD292="N/A",AD293="N/A",AD294="N/A"),"N/A","OK")</f>
        <v>#N/A</v>
      </c>
      <c r="AE295" s="286" t="e">
        <f>IF(AND(AE291="N/A",AE292="N/A",AE293="N/A",AE294="N/A"),"N/A","OK")</f>
        <v>#N/A</v>
      </c>
      <c r="AF295" s="286" t="e">
        <f>IF(AND(AF291="N/A",AF292="N/A",AF293="N/A",AF294="N/A"),"N/A","OK")</f>
        <v>#N/A</v>
      </c>
      <c r="AG295" s="286" t="e">
        <f>IF(AND(AG291="N/A",AG292="N/A",AG293="N/A",AG294="N/A"),"N/A","OK")</f>
        <v>#N/A</v>
      </c>
      <c r="AH295" s="285"/>
      <c r="AI295" s="285"/>
      <c r="AJ295" s="285"/>
      <c r="AK295" s="285"/>
    </row>
    <row r="296" spans="1:37">
      <c r="A296" s="384"/>
      <c r="B296" s="384"/>
      <c r="C296" s="384"/>
      <c r="D296" s="384"/>
      <c r="E296" s="384"/>
      <c r="F296" s="384"/>
      <c r="G296" s="384"/>
      <c r="H296" s="384"/>
      <c r="I296" s="384"/>
      <c r="J296" s="384"/>
      <c r="K296" s="384"/>
      <c r="L296" s="384"/>
      <c r="M296" s="384"/>
      <c r="N296" s="384"/>
      <c r="O296" s="384"/>
      <c r="P296" s="112"/>
      <c r="Q296" s="112"/>
      <c r="R296" s="112"/>
      <c r="S296" s="112"/>
      <c r="T296" s="112"/>
      <c r="U296" s="112"/>
      <c r="V296" s="112"/>
      <c r="W296" s="112"/>
      <c r="X296" s="112"/>
      <c r="Y296" s="147"/>
      <c r="Z296" s="279"/>
      <c r="AC296" s="285"/>
      <c r="AD296" s="286"/>
      <c r="AE296" s="286"/>
      <c r="AF296" s="286"/>
      <c r="AG296" s="286"/>
      <c r="AH296" s="285"/>
      <c r="AI296" s="285"/>
      <c r="AJ296" s="285"/>
      <c r="AK296" s="285"/>
    </row>
    <row r="297" spans="1:37">
      <c r="A297" s="101" t="s">
        <v>423</v>
      </c>
      <c r="B297" s="100"/>
      <c r="C297" s="100"/>
      <c r="D297" s="100"/>
      <c r="E297" s="100"/>
      <c r="F297" s="100"/>
      <c r="G297" s="100"/>
      <c r="H297" s="100"/>
      <c r="I297" s="100"/>
      <c r="J297" s="100"/>
      <c r="K297" s="100"/>
      <c r="L297" s="100"/>
      <c r="M297" s="100"/>
      <c r="N297" s="112"/>
      <c r="O297" s="112"/>
      <c r="P297" s="112"/>
      <c r="Q297" s="112"/>
      <c r="R297" s="112"/>
      <c r="S297" s="112"/>
      <c r="T297" s="112"/>
      <c r="U297" s="112"/>
      <c r="V297" s="112"/>
      <c r="W297" s="112"/>
      <c r="X297" s="112"/>
      <c r="Y297" s="147"/>
      <c r="Z297" s="279"/>
      <c r="AC297" s="285"/>
      <c r="AD297" s="286"/>
      <c r="AE297" s="286"/>
      <c r="AF297" s="286"/>
      <c r="AG297" s="286"/>
      <c r="AH297" s="285"/>
      <c r="AI297" s="285"/>
      <c r="AJ297" s="285"/>
      <c r="AK297" s="285"/>
    </row>
    <row r="298" spans="1:37" ht="36">
      <c r="A298" s="203" t="s">
        <v>98</v>
      </c>
      <c r="B298" s="381" t="s">
        <v>344</v>
      </c>
      <c r="C298" s="381" t="s">
        <v>345</v>
      </c>
      <c r="D298" s="381" t="s">
        <v>349</v>
      </c>
      <c r="E298" s="381" t="s">
        <v>332</v>
      </c>
      <c r="F298" s="100"/>
      <c r="G298" s="100"/>
      <c r="H298" s="100"/>
      <c r="I298" s="100"/>
      <c r="J298" s="100"/>
      <c r="K298" s="100"/>
      <c r="L298" s="100"/>
      <c r="M298" s="100"/>
      <c r="N298" s="112"/>
      <c r="O298" s="112"/>
      <c r="P298" s="112"/>
      <c r="Q298" s="112"/>
      <c r="R298" s="112"/>
      <c r="S298" s="112"/>
      <c r="T298" s="112"/>
      <c r="U298" s="112"/>
      <c r="V298" s="112"/>
      <c r="W298" s="112"/>
      <c r="X298" s="112"/>
      <c r="Y298" s="147"/>
      <c r="Z298" s="279"/>
      <c r="AC298" s="285"/>
      <c r="AD298" s="286"/>
      <c r="AE298" s="286"/>
      <c r="AF298" s="286"/>
      <c r="AG298" s="286"/>
      <c r="AH298" s="285"/>
      <c r="AI298" s="285"/>
      <c r="AJ298" s="285"/>
      <c r="AK298" s="285"/>
    </row>
    <row r="299" spans="1:37">
      <c r="A299" s="201" t="s">
        <v>20</v>
      </c>
      <c r="B299" s="382" t="e">
        <f>IF(OR($D$269="Tension",$D$269="Reversal"),$E$269, "N/A")</f>
        <v>#N/A</v>
      </c>
      <c r="C299" s="382" t="e">
        <f>IF(OR($D$269="Tension",$D$269="Reversal"),$G$269, "N/A")</f>
        <v>#N/A</v>
      </c>
      <c r="D299" s="382" t="e">
        <f>IF(OR($B$299="N/A",$C$299="N/A"),"N/A",$F$291)</f>
        <v>#N/A</v>
      </c>
      <c r="E299" s="382" t="e">
        <f>IF(D299="N/A","N/A",(D299-B299)/C299)</f>
        <v>#N/A</v>
      </c>
      <c r="F299" s="100"/>
      <c r="G299" s="100"/>
      <c r="H299" s="100"/>
      <c r="I299" s="100"/>
      <c r="J299" s="100"/>
      <c r="K299" s="100"/>
      <c r="L299" s="100"/>
      <c r="M299" s="100"/>
      <c r="N299" s="112"/>
      <c r="O299" s="112"/>
      <c r="P299" s="112"/>
      <c r="Q299" s="112"/>
      <c r="R299" s="112"/>
      <c r="S299" s="112"/>
      <c r="T299" s="112"/>
      <c r="U299" s="112"/>
      <c r="V299" s="112"/>
      <c r="W299" s="112"/>
      <c r="X299" s="112"/>
      <c r="Y299" s="147"/>
      <c r="Z299" s="279"/>
      <c r="AC299" s="285"/>
      <c r="AD299" s="286"/>
      <c r="AE299" s="286"/>
      <c r="AF299" s="286"/>
      <c r="AG299" s="286"/>
      <c r="AH299" s="285"/>
      <c r="AI299" s="285"/>
      <c r="AJ299" s="285"/>
      <c r="AK299" s="285"/>
    </row>
    <row r="300" spans="1:37">
      <c r="A300" s="201" t="s">
        <v>263</v>
      </c>
      <c r="B300" s="382" t="e">
        <f>IF(OR($D$269="Tension",$D$269="Reversal"),IF(OR($D$271="Tension",$D$271="Reversal"),$E$269+$E$271,$E$269), "N/A")</f>
        <v>#N/A</v>
      </c>
      <c r="C300" s="382" t="e">
        <f>IF(OR($D$269="Tension",$D$269="Reversal"),IF(OR($D$271="Tension",$D$271="Reversal"),$G$269+$G$271,$G$269), "N/A")</f>
        <v>#N/A</v>
      </c>
      <c r="D300" s="382" t="e">
        <f>IF(OR($B$300="N/A",$C$300="N/A"),"N/A",$F$292)</f>
        <v>#N/A</v>
      </c>
      <c r="E300" s="382" t="e">
        <f>IF(D300="N/A","N/A",(D300-B300)/C300)</f>
        <v>#N/A</v>
      </c>
      <c r="F300" s="100"/>
      <c r="G300" s="100"/>
      <c r="H300" s="100"/>
      <c r="I300" s="100"/>
      <c r="J300" s="100"/>
      <c r="K300" s="100"/>
      <c r="L300" s="100"/>
      <c r="M300" s="100"/>
      <c r="N300" s="112"/>
      <c r="O300" s="112"/>
      <c r="P300" s="112"/>
      <c r="Q300" s="112"/>
      <c r="R300" s="112"/>
      <c r="S300" s="112"/>
      <c r="T300" s="112"/>
      <c r="U300" s="112"/>
      <c r="V300" s="112"/>
      <c r="W300" s="112"/>
      <c r="X300" s="112"/>
      <c r="Y300" s="147"/>
      <c r="Z300" s="279"/>
      <c r="AC300" s="285"/>
      <c r="AD300" s="286"/>
      <c r="AE300" s="286"/>
      <c r="AF300" s="286"/>
      <c r="AG300" s="286"/>
      <c r="AH300" s="285"/>
      <c r="AI300" s="285"/>
      <c r="AJ300" s="285"/>
      <c r="AK300" s="285"/>
    </row>
    <row r="301" spans="1:37">
      <c r="A301" s="201" t="s">
        <v>21</v>
      </c>
      <c r="B301" s="382" t="e">
        <f>IF(OR($D$270="Tension",$D$270="Reversal"),$E$270, "N/A")</f>
        <v>#N/A</v>
      </c>
      <c r="C301" s="382" t="e">
        <f>IF(OR($D$270="Tension",$D$270="Reversal"),$G$270, "N/A")</f>
        <v>#N/A</v>
      </c>
      <c r="D301" s="382" t="e">
        <f>IF(OR($B$301="N/A",$C$301="N/A"),"N/A",$F$293)</f>
        <v>#N/A</v>
      </c>
      <c r="E301" s="382" t="e">
        <f>IF(D301="N/A","N/A",(D301-B301)/C301)</f>
        <v>#N/A</v>
      </c>
      <c r="F301" s="100"/>
      <c r="G301" s="100"/>
      <c r="H301" s="100"/>
      <c r="I301" s="100"/>
      <c r="J301" s="100"/>
      <c r="K301" s="100"/>
      <c r="L301" s="100"/>
      <c r="M301" s="100"/>
      <c r="N301" s="112"/>
      <c r="O301" s="112"/>
      <c r="P301" s="112"/>
      <c r="Q301" s="112"/>
      <c r="R301" s="112"/>
      <c r="S301" s="112"/>
      <c r="T301" s="112"/>
      <c r="U301" s="112"/>
      <c r="V301" s="112"/>
      <c r="W301" s="112"/>
      <c r="X301" s="112"/>
      <c r="Y301" s="147"/>
      <c r="Z301" s="279"/>
      <c r="AC301" s="285"/>
      <c r="AD301" s="286"/>
      <c r="AE301" s="286"/>
      <c r="AF301" s="286"/>
      <c r="AG301" s="286"/>
      <c r="AH301" s="285"/>
      <c r="AI301" s="285"/>
      <c r="AJ301" s="285"/>
      <c r="AK301" s="285"/>
    </row>
    <row r="302" spans="1:37">
      <c r="A302" s="201" t="s">
        <v>264</v>
      </c>
      <c r="B302" s="382" t="e">
        <f>IF(OR($D$270="Tension",$D$270="Reversal"),IF(OR($D$271="Tension",$D$271="Reversal"),$E$270+$E$271,$E$270), "N/A")</f>
        <v>#N/A</v>
      </c>
      <c r="C302" s="382" t="e">
        <f>IF(OR($D$270="Tension",$D$270="Reversal"),IF(OR($D$271="Tension",$D$271="Reversal"),$G$270+$G$271,$G$270), "N/A")</f>
        <v>#N/A</v>
      </c>
      <c r="D302" s="382" t="e">
        <f>IF(OR($B$302="N/A",$C$302="N/A"),"N/A",$F$294)</f>
        <v>#N/A</v>
      </c>
      <c r="E302" s="382" t="e">
        <f>IF(D302="N/A","N/A",(D302-B302)/C302)</f>
        <v>#N/A</v>
      </c>
      <c r="F302" s="100"/>
      <c r="G302" s="100"/>
      <c r="H302" s="100"/>
      <c r="I302" s="100"/>
      <c r="J302" s="100"/>
      <c r="K302" s="100"/>
      <c r="L302" s="100"/>
      <c r="M302" s="100"/>
      <c r="N302" s="112"/>
      <c r="O302" s="112"/>
      <c r="P302" s="112"/>
      <c r="Q302" s="112"/>
      <c r="R302" s="112"/>
      <c r="S302" s="112"/>
      <c r="T302" s="112"/>
      <c r="U302" s="112"/>
      <c r="V302" s="112"/>
      <c r="W302" s="112"/>
      <c r="X302" s="112"/>
      <c r="Y302" s="147"/>
      <c r="Z302" s="279"/>
      <c r="AC302" s="285"/>
      <c r="AD302" s="286"/>
      <c r="AE302" s="286"/>
      <c r="AF302" s="286"/>
      <c r="AG302" s="286"/>
      <c r="AH302" s="285"/>
      <c r="AI302" s="285"/>
      <c r="AJ302" s="285"/>
      <c r="AK302" s="285"/>
    </row>
    <row r="303" spans="1:37">
      <c r="A303" s="100"/>
      <c r="B303" s="100"/>
      <c r="C303" s="100"/>
      <c r="D303" s="100"/>
      <c r="E303" s="100"/>
      <c r="F303" s="100"/>
      <c r="G303" s="100"/>
      <c r="H303" s="100"/>
      <c r="I303" s="100"/>
      <c r="J303" s="100"/>
      <c r="K303" s="100"/>
      <c r="L303" s="100"/>
      <c r="M303" s="100"/>
      <c r="N303" s="112"/>
      <c r="O303" s="112"/>
      <c r="P303" s="112"/>
      <c r="Q303" s="112"/>
      <c r="R303" s="112"/>
      <c r="S303" s="112"/>
      <c r="T303" s="112"/>
      <c r="U303" s="112"/>
      <c r="V303" s="112"/>
      <c r="W303" s="112"/>
      <c r="X303" s="112"/>
      <c r="Y303" s="147"/>
      <c r="Z303" s="279"/>
      <c r="AC303" s="285"/>
      <c r="AD303" s="286"/>
      <c r="AE303" s="286"/>
      <c r="AF303" s="286"/>
      <c r="AG303" s="286"/>
      <c r="AH303" s="285"/>
      <c r="AI303" s="285"/>
      <c r="AJ303" s="285"/>
      <c r="AK303" s="285"/>
    </row>
    <row r="304" spans="1:37">
      <c r="A304" s="100"/>
      <c r="B304" s="100"/>
      <c r="C304" s="100"/>
      <c r="D304" s="100"/>
      <c r="E304" s="100"/>
      <c r="F304" s="100"/>
      <c r="G304" s="100"/>
      <c r="H304" s="100"/>
      <c r="I304" s="100"/>
      <c r="J304" s="100"/>
      <c r="K304" s="100"/>
      <c r="L304" s="100"/>
      <c r="M304" s="100"/>
      <c r="N304" s="112"/>
      <c r="O304" s="112"/>
      <c r="P304" s="112"/>
      <c r="Q304" s="112"/>
      <c r="R304" s="112"/>
      <c r="S304" s="112"/>
      <c r="T304" s="112"/>
      <c r="U304" s="112"/>
      <c r="V304" s="112"/>
      <c r="W304" s="112"/>
      <c r="X304" s="112"/>
      <c r="Y304" s="147"/>
      <c r="Z304" s="279"/>
      <c r="AC304" s="285"/>
      <c r="AD304" s="286"/>
      <c r="AE304" s="286"/>
      <c r="AF304" s="286"/>
      <c r="AG304" s="286"/>
      <c r="AH304" s="285"/>
      <c r="AI304" s="285"/>
      <c r="AJ304" s="285"/>
      <c r="AK304" s="285"/>
    </row>
    <row r="305" spans="1:37">
      <c r="A305" s="101" t="s">
        <v>424</v>
      </c>
      <c r="B305" s="100"/>
      <c r="C305" s="100"/>
      <c r="D305" s="100"/>
      <c r="E305" s="100"/>
      <c r="F305" s="100"/>
      <c r="G305" s="100"/>
      <c r="H305" s="100"/>
      <c r="I305" s="100"/>
      <c r="J305" s="100"/>
      <c r="K305" s="100"/>
      <c r="L305" s="100"/>
      <c r="M305" s="100"/>
      <c r="N305" s="112"/>
      <c r="O305" s="112"/>
      <c r="P305" s="112"/>
      <c r="Q305" s="112"/>
      <c r="R305" s="112"/>
      <c r="S305" s="112"/>
      <c r="T305" s="112"/>
      <c r="U305" s="112"/>
      <c r="V305" s="112"/>
      <c r="W305" s="112"/>
      <c r="X305" s="112"/>
      <c r="Y305" s="147"/>
      <c r="Z305" s="279"/>
      <c r="AC305" s="285"/>
      <c r="AD305" s="286"/>
      <c r="AE305" s="286"/>
      <c r="AF305" s="286"/>
      <c r="AG305" s="286"/>
      <c r="AH305" s="285"/>
      <c r="AI305" s="285"/>
      <c r="AJ305" s="285"/>
      <c r="AK305" s="285"/>
    </row>
    <row r="306" spans="1:37" ht="36">
      <c r="A306" s="203" t="s">
        <v>98</v>
      </c>
      <c r="B306" s="381" t="s">
        <v>346</v>
      </c>
      <c r="C306" s="381" t="s">
        <v>347</v>
      </c>
      <c r="D306" s="381" t="s">
        <v>348</v>
      </c>
      <c r="E306" s="381" t="s">
        <v>332</v>
      </c>
      <c r="F306" s="100"/>
      <c r="G306" s="100"/>
      <c r="H306" s="100"/>
      <c r="I306" s="100"/>
      <c r="J306" s="100"/>
      <c r="K306" s="100"/>
      <c r="L306" s="100"/>
      <c r="M306" s="100"/>
      <c r="N306" s="112"/>
      <c r="O306" s="112"/>
      <c r="P306" s="112"/>
      <c r="Q306" s="112"/>
      <c r="R306" s="112"/>
      <c r="S306" s="112"/>
      <c r="T306" s="112"/>
      <c r="U306" s="112"/>
      <c r="V306" s="112"/>
      <c r="W306" s="112"/>
      <c r="X306" s="112"/>
      <c r="Y306" s="147"/>
      <c r="Z306" s="279"/>
      <c r="AB306" s="286" t="s">
        <v>412</v>
      </c>
      <c r="AC306" s="285"/>
      <c r="AD306" s="286"/>
      <c r="AE306" s="286"/>
      <c r="AF306" s="286"/>
      <c r="AG306" s="286"/>
      <c r="AH306" s="285"/>
      <c r="AI306" s="285"/>
      <c r="AJ306" s="285"/>
      <c r="AK306" s="285"/>
    </row>
    <row r="307" spans="1:37">
      <c r="A307" s="201" t="s">
        <v>20</v>
      </c>
      <c r="B307" s="382" t="e">
        <f>IF(OR($D$269="Tension",$D$269="Reversal"),$F$269, "N/A")</f>
        <v>#N/A</v>
      </c>
      <c r="C307" s="382" t="e">
        <f>IF(OR($D$269="Tension",$D$269="Reversal"),$H$269, "N/A")</f>
        <v>#N/A</v>
      </c>
      <c r="D307" s="382" t="e">
        <f>IF(OR($B$307="N/A",$C$307="N/A"),"N/A",$I$291)</f>
        <v>#N/A</v>
      </c>
      <c r="E307" s="382" t="e">
        <f>IF(D307="N/A","N/A",(D307-B307)/C307)</f>
        <v>#N/A</v>
      </c>
      <c r="F307" s="100"/>
      <c r="G307" s="100"/>
      <c r="H307" s="100"/>
      <c r="I307" s="100"/>
      <c r="J307" s="100"/>
      <c r="K307" s="100"/>
      <c r="L307" s="100"/>
      <c r="M307" s="100"/>
      <c r="N307" s="112"/>
      <c r="O307" s="112"/>
      <c r="P307" s="112"/>
      <c r="Q307" s="112"/>
      <c r="R307" s="112"/>
      <c r="S307" s="112"/>
      <c r="T307" s="112"/>
      <c r="U307" s="112"/>
      <c r="V307" s="112"/>
      <c r="W307" s="112"/>
      <c r="X307" s="112"/>
      <c r="Y307" s="147"/>
      <c r="Z307" s="279"/>
      <c r="AB307" s="287" t="e">
        <f>E307</f>
        <v>#N/A</v>
      </c>
      <c r="AC307" s="285"/>
      <c r="AD307" s="286"/>
      <c r="AE307" s="286"/>
      <c r="AF307" s="286"/>
      <c r="AG307" s="286"/>
      <c r="AH307" s="285"/>
      <c r="AI307" s="285"/>
      <c r="AJ307" s="285"/>
      <c r="AK307" s="285"/>
    </row>
    <row r="308" spans="1:37">
      <c r="A308" s="201" t="s">
        <v>263</v>
      </c>
      <c r="B308" s="382" t="e">
        <f>IF(OR($D$269="Tension",$D$269="Reversal"),IF(OR($D$271="Tension",$D$271="Reversal"),$F$269+$F$271,$F$269), "N/A")</f>
        <v>#N/A</v>
      </c>
      <c r="C308" s="382" t="e">
        <f>IF(OR($D$269="Tension",$D$269="Reversal"),IF(OR($D$271="Tension",$D$271="Reversal"),$H$269+$H$271,$H$269), "N/A")</f>
        <v>#N/A</v>
      </c>
      <c r="D308" s="382" t="e">
        <f>IF(OR($B$308="N/A",$C$308="N/A"),"N/A",$I$292)</f>
        <v>#N/A</v>
      </c>
      <c r="E308" s="382" t="e">
        <f>IF(D308="N/A","N/A",(D308-B308)/C308)</f>
        <v>#N/A</v>
      </c>
      <c r="F308" s="100"/>
      <c r="G308" s="100"/>
      <c r="H308" s="100"/>
      <c r="I308" s="100"/>
      <c r="J308" s="100"/>
      <c r="K308" s="100"/>
      <c r="L308" s="100"/>
      <c r="M308" s="100"/>
      <c r="N308" s="112"/>
      <c r="O308" s="112"/>
      <c r="P308" s="112"/>
      <c r="Q308" s="112"/>
      <c r="R308" s="112"/>
      <c r="S308" s="112"/>
      <c r="T308" s="112"/>
      <c r="U308" s="112"/>
      <c r="V308" s="112"/>
      <c r="W308" s="112"/>
      <c r="X308" s="112"/>
      <c r="Y308" s="147"/>
      <c r="Z308" s="279"/>
      <c r="AB308" s="287" t="e">
        <f>E308</f>
        <v>#N/A</v>
      </c>
      <c r="AC308" s="285"/>
      <c r="AD308" s="286"/>
      <c r="AE308" s="286"/>
      <c r="AF308" s="286"/>
      <c r="AG308" s="286"/>
      <c r="AH308" s="285"/>
      <c r="AI308" s="285"/>
      <c r="AJ308" s="285"/>
      <c r="AK308" s="285"/>
    </row>
    <row r="309" spans="1:37">
      <c r="A309" s="201" t="s">
        <v>21</v>
      </c>
      <c r="B309" s="382" t="e">
        <f>IF(OR($D$270="Tension",$D$270="Reversal"),$F$270, "N/A")</f>
        <v>#N/A</v>
      </c>
      <c r="C309" s="382" t="e">
        <f>IF(OR($D$270="Tension",$D$270="Reversal"),$H$270, "N/A")</f>
        <v>#N/A</v>
      </c>
      <c r="D309" s="382" t="e">
        <f>IF(OR($B$309="N/A",$C$309="N/A"),"N/A",$I$293)</f>
        <v>#N/A</v>
      </c>
      <c r="E309" s="382" t="e">
        <f>IF(D309="N/A","N/A",(D309-B309)/C309)</f>
        <v>#N/A</v>
      </c>
      <c r="F309" s="100"/>
      <c r="G309" s="100"/>
      <c r="H309" s="100"/>
      <c r="I309" s="100"/>
      <c r="J309" s="100"/>
      <c r="K309" s="100"/>
      <c r="L309" s="100"/>
      <c r="M309" s="100"/>
      <c r="N309" s="112"/>
      <c r="O309" s="112"/>
      <c r="P309" s="112"/>
      <c r="Q309" s="112"/>
      <c r="R309" s="112"/>
      <c r="S309" s="112"/>
      <c r="T309" s="112"/>
      <c r="U309" s="112"/>
      <c r="V309" s="112"/>
      <c r="W309" s="112"/>
      <c r="X309" s="112"/>
      <c r="Y309" s="147"/>
      <c r="Z309" s="279"/>
      <c r="AB309" s="287" t="e">
        <f>E309</f>
        <v>#N/A</v>
      </c>
      <c r="AC309" s="285"/>
      <c r="AD309" s="286"/>
      <c r="AE309" s="286"/>
      <c r="AF309" s="286"/>
      <c r="AG309" s="286"/>
      <c r="AH309" s="285"/>
      <c r="AI309" s="285"/>
      <c r="AJ309" s="285"/>
      <c r="AK309" s="285"/>
    </row>
    <row r="310" spans="1:37">
      <c r="A310" s="201" t="s">
        <v>264</v>
      </c>
      <c r="B310" s="382" t="e">
        <f>IF(OR($D$270="Tension",$D$270="Reversal"),IF(OR($D$271="Tension",$D$271="Reversal"),$F$270+$F$271,$F$270), "N/A")</f>
        <v>#N/A</v>
      </c>
      <c r="C310" s="382" t="e">
        <f>IF(OR($D$270="Tension",$D$270="Reversal"),IF(OR($D$271="Tension",$D$271="Reversal"),$H$270+$H$271,$H$270), "N/A")</f>
        <v>#N/A</v>
      </c>
      <c r="D310" s="382" t="e">
        <f>IF(OR($B$310="N/A",$C$310="N/A"),"N/A",$I$294)</f>
        <v>#N/A</v>
      </c>
      <c r="E310" s="382" t="e">
        <f>IF(D310="N/A","N/A",(D310-B310)/C310)</f>
        <v>#N/A</v>
      </c>
      <c r="F310" s="100"/>
      <c r="G310" s="100"/>
      <c r="H310" s="100"/>
      <c r="I310" s="100"/>
      <c r="J310" s="100"/>
      <c r="K310" s="100"/>
      <c r="L310" s="100"/>
      <c r="M310" s="100"/>
      <c r="N310" s="112"/>
      <c r="O310" s="112"/>
      <c r="P310" s="112"/>
      <c r="Q310" s="112"/>
      <c r="R310" s="112"/>
      <c r="S310" s="112"/>
      <c r="T310" s="112"/>
      <c r="U310" s="112"/>
      <c r="V310" s="112"/>
      <c r="W310" s="112"/>
      <c r="X310" s="112"/>
      <c r="Y310" s="147"/>
      <c r="Z310" s="279"/>
      <c r="AB310" s="287" t="e">
        <f>E310</f>
        <v>#N/A</v>
      </c>
      <c r="AC310" s="285"/>
      <c r="AD310" s="286"/>
      <c r="AE310" s="286"/>
      <c r="AF310" s="286"/>
      <c r="AG310" s="286"/>
      <c r="AH310" s="285"/>
      <c r="AI310" s="285"/>
      <c r="AJ310" s="285"/>
      <c r="AK310" s="285"/>
    </row>
    <row r="311" spans="1:37">
      <c r="A311" s="100"/>
      <c r="B311" s="100"/>
      <c r="C311" s="100"/>
      <c r="D311" s="100"/>
      <c r="E311" s="100"/>
      <c r="F311" s="100"/>
      <c r="G311" s="100"/>
      <c r="H311" s="100"/>
      <c r="I311" s="100"/>
      <c r="J311" s="100"/>
      <c r="K311" s="100"/>
      <c r="L311" s="100"/>
      <c r="M311" s="100"/>
      <c r="N311" s="112"/>
      <c r="O311" s="112"/>
      <c r="P311" s="112"/>
      <c r="Q311" s="112"/>
      <c r="R311" s="112"/>
      <c r="S311" s="112"/>
      <c r="T311" s="112"/>
      <c r="U311" s="112"/>
      <c r="V311" s="112"/>
      <c r="W311" s="112"/>
      <c r="X311" s="112"/>
      <c r="Y311" s="147"/>
      <c r="Z311" s="279"/>
      <c r="AC311" s="285"/>
      <c r="AD311" s="286"/>
      <c r="AE311" s="286"/>
      <c r="AF311" s="286"/>
      <c r="AG311" s="286"/>
      <c r="AH311" s="285"/>
      <c r="AI311" s="285"/>
      <c r="AJ311" s="285"/>
      <c r="AK311" s="285"/>
    </row>
    <row r="312" spans="1:37">
      <c r="A312" s="100"/>
      <c r="B312" s="100"/>
      <c r="C312" s="100"/>
      <c r="D312" s="100"/>
      <c r="E312" s="100"/>
      <c r="F312" s="100"/>
      <c r="G312" s="100"/>
      <c r="H312" s="100"/>
      <c r="I312" s="100"/>
      <c r="J312" s="100"/>
      <c r="K312" s="100"/>
      <c r="L312" s="100"/>
      <c r="M312" s="100"/>
      <c r="N312" s="112"/>
      <c r="O312" s="112"/>
      <c r="P312" s="112"/>
      <c r="Q312" s="112"/>
      <c r="R312" s="112"/>
      <c r="S312" s="112"/>
      <c r="T312" s="112"/>
      <c r="U312" s="112"/>
      <c r="V312" s="112"/>
      <c r="W312" s="112"/>
      <c r="X312" s="112"/>
      <c r="Y312" s="147"/>
      <c r="Z312" s="279"/>
      <c r="AC312" s="285"/>
      <c r="AD312" s="286"/>
      <c r="AE312" s="286"/>
      <c r="AF312" s="286"/>
      <c r="AG312" s="286"/>
      <c r="AH312" s="285"/>
      <c r="AI312" s="285"/>
      <c r="AJ312" s="285"/>
      <c r="AK312" s="285"/>
    </row>
    <row r="313" spans="1:37">
      <c r="A313" s="100"/>
      <c r="B313" s="100"/>
      <c r="C313" s="100"/>
      <c r="D313" s="100"/>
      <c r="E313" s="100"/>
      <c r="F313" s="100"/>
      <c r="G313" s="100"/>
      <c r="H313" s="100"/>
      <c r="I313" s="100"/>
      <c r="J313" s="100"/>
      <c r="K313" s="100"/>
      <c r="L313" s="100"/>
      <c r="M313" s="100"/>
      <c r="N313" s="112"/>
      <c r="O313" s="112"/>
      <c r="P313" s="112"/>
      <c r="Q313" s="112"/>
      <c r="R313" s="112"/>
      <c r="S313" s="112"/>
      <c r="T313" s="112"/>
      <c r="U313" s="112"/>
      <c r="V313" s="112"/>
      <c r="W313" s="112"/>
      <c r="X313" s="112"/>
      <c r="Y313" s="147"/>
      <c r="Z313" s="279"/>
      <c r="AC313" s="285"/>
      <c r="AD313" s="286"/>
      <c r="AE313" s="286"/>
      <c r="AF313" s="286"/>
      <c r="AG313" s="286"/>
      <c r="AH313" s="285"/>
      <c r="AI313" s="285"/>
      <c r="AJ313" s="285"/>
      <c r="AK313" s="285"/>
    </row>
    <row r="314" spans="1:37">
      <c r="A314" s="62"/>
      <c r="B314" s="100"/>
      <c r="C314" s="100"/>
      <c r="D314" s="100"/>
      <c r="E314" s="100"/>
      <c r="F314" s="100"/>
      <c r="G314" s="100"/>
      <c r="H314" s="100"/>
      <c r="I314" s="100"/>
      <c r="J314" s="100"/>
      <c r="K314" s="100"/>
      <c r="L314" s="100"/>
      <c r="M314" s="100"/>
      <c r="N314" s="112"/>
      <c r="O314" s="112"/>
      <c r="P314" s="112"/>
      <c r="Q314" s="112"/>
      <c r="R314" s="112"/>
      <c r="S314" s="112"/>
      <c r="T314" s="112"/>
      <c r="U314" s="112"/>
      <c r="V314" s="112"/>
      <c r="W314" s="112"/>
      <c r="X314" s="112"/>
      <c r="Y314" s="147"/>
      <c r="Z314" s="279"/>
      <c r="AC314" s="285"/>
      <c r="AD314" s="286"/>
      <c r="AE314" s="286"/>
      <c r="AF314" s="286"/>
      <c r="AG314" s="286"/>
      <c r="AH314" s="285"/>
      <c r="AI314" s="285"/>
      <c r="AJ314" s="285"/>
      <c r="AK314" s="285"/>
    </row>
    <row r="315" spans="1:37">
      <c r="A315" s="62" t="s">
        <v>397</v>
      </c>
      <c r="B315" s="100"/>
      <c r="C315" s="100" t="s">
        <v>252</v>
      </c>
      <c r="D315" s="100"/>
      <c r="E315" s="100"/>
      <c r="F315" s="100"/>
      <c r="G315" s="100"/>
      <c r="H315" s="100"/>
      <c r="I315" s="100"/>
      <c r="J315" s="100"/>
      <c r="K315" s="100"/>
      <c r="L315" s="100"/>
      <c r="M315" s="100"/>
      <c r="N315" s="112"/>
      <c r="O315" s="112"/>
      <c r="P315" s="112"/>
      <c r="Q315" s="112"/>
      <c r="R315" s="112"/>
      <c r="S315" s="112"/>
      <c r="T315" s="112"/>
      <c r="U315" s="112"/>
      <c r="V315" s="112"/>
      <c r="W315" s="112"/>
      <c r="X315" s="112"/>
      <c r="Y315" s="147"/>
      <c r="Z315" s="279"/>
      <c r="AC315" s="285"/>
      <c r="AD315" s="286"/>
      <c r="AE315" s="286"/>
      <c r="AF315" s="286"/>
      <c r="AG315" s="286"/>
      <c r="AH315" s="285"/>
      <c r="AI315" s="285"/>
      <c r="AJ315" s="285"/>
      <c r="AK315" s="285"/>
    </row>
    <row r="316" spans="1:37" ht="60">
      <c r="A316" s="152" t="s">
        <v>98</v>
      </c>
      <c r="B316" s="12" t="s">
        <v>153</v>
      </c>
      <c r="C316" s="12" t="s">
        <v>154</v>
      </c>
      <c r="D316" s="12" t="s">
        <v>265</v>
      </c>
      <c r="E316" s="12" t="s">
        <v>266</v>
      </c>
      <c r="F316" s="12" t="s">
        <v>255</v>
      </c>
      <c r="G316" s="12" t="s">
        <v>267</v>
      </c>
      <c r="H316" s="12" t="s">
        <v>268</v>
      </c>
      <c r="I316" s="12" t="s">
        <v>258</v>
      </c>
      <c r="J316" s="5" t="s">
        <v>259</v>
      </c>
      <c r="K316" s="5" t="s">
        <v>260</v>
      </c>
      <c r="L316" s="49" t="s">
        <v>269</v>
      </c>
      <c r="M316" s="49" t="s">
        <v>270</v>
      </c>
      <c r="N316" s="112"/>
      <c r="O316" s="112"/>
      <c r="P316" s="112"/>
      <c r="Q316" s="112"/>
      <c r="R316" s="112"/>
      <c r="S316" s="112"/>
      <c r="T316" s="112"/>
      <c r="U316" s="112"/>
      <c r="V316" s="112"/>
      <c r="W316" s="112"/>
      <c r="X316" s="112"/>
      <c r="Y316" s="147"/>
      <c r="Z316" s="279"/>
      <c r="AC316" s="285"/>
      <c r="AD316" s="285"/>
      <c r="AE316" s="285"/>
      <c r="AF316" s="285"/>
      <c r="AG316" s="285"/>
      <c r="AH316" s="285"/>
      <c r="AI316" s="285"/>
      <c r="AJ316" s="285"/>
      <c r="AK316" s="285"/>
    </row>
    <row r="317" spans="1:37">
      <c r="A317" s="201" t="s">
        <v>20</v>
      </c>
      <c r="B317" s="189" t="e">
        <f t="shared" ref="B317:C320" si="12">B291</f>
        <v>#N/A</v>
      </c>
      <c r="C317" s="189" t="e">
        <f t="shared" si="12"/>
        <v>#N/A</v>
      </c>
      <c r="D317" s="202" t="e">
        <f>$B$260*F278</f>
        <v>#N/A</v>
      </c>
      <c r="E317" s="202" t="e">
        <f>$B$257*E279</f>
        <v>#N/A</v>
      </c>
      <c r="F317" s="202" t="e">
        <f>D317+E317</f>
        <v>#N/A</v>
      </c>
      <c r="G317" s="202" t="e">
        <f>$B$260*F279</f>
        <v>#N/A</v>
      </c>
      <c r="H317" s="202" t="e">
        <f>$B$257*E278</f>
        <v>#N/A</v>
      </c>
      <c r="I317" s="202" t="e">
        <f>G317+H317</f>
        <v>#N/A</v>
      </c>
      <c r="J317" s="57" t="e">
        <f>IF(B317="N/A","N/A",IF(B317&gt;F317,"NG","OK"))</f>
        <v>#N/A</v>
      </c>
      <c r="K317" s="57" t="e">
        <f>IF(C317="N/A","N/A",IF(C317&gt;I317,"NG","OK"))</f>
        <v>#N/A</v>
      </c>
      <c r="L317" s="61" t="e">
        <f>IF(B317="N/A","N/A",F317/B317)</f>
        <v>#N/A</v>
      </c>
      <c r="M317" s="61" t="e">
        <f>IF(C317="N/A","N/A",I317/C317)</f>
        <v>#N/A</v>
      </c>
      <c r="N317" s="112"/>
      <c r="O317" s="112"/>
      <c r="P317" s="112"/>
      <c r="Q317" s="112"/>
      <c r="R317" s="112"/>
      <c r="S317" s="112"/>
      <c r="T317" s="112"/>
      <c r="U317" s="112"/>
      <c r="V317" s="112"/>
      <c r="W317" s="112"/>
      <c r="X317" s="112"/>
      <c r="Y317" s="147"/>
      <c r="Z317" s="279"/>
      <c r="AB317" s="280" t="e">
        <f>IF(OR(AD317="N/A",AE317="N/A"),0,1)</f>
        <v>#N/A</v>
      </c>
      <c r="AC317" s="285" t="e">
        <f>IF(OR(AD317="NG",AE317="NG",AF317="NG",AG317="NG",AH317="NG"),1,0)</f>
        <v>#N/A</v>
      </c>
      <c r="AD317" s="286" t="e">
        <f t="shared" ref="AD317:AG320" si="13">J317</f>
        <v>#N/A</v>
      </c>
      <c r="AE317" s="286" t="e">
        <f t="shared" si="13"/>
        <v>#N/A</v>
      </c>
      <c r="AF317" s="286" t="e">
        <f t="shared" si="13"/>
        <v>#N/A</v>
      </c>
      <c r="AG317" s="286" t="e">
        <f t="shared" si="13"/>
        <v>#N/A</v>
      </c>
      <c r="AH317" s="285"/>
      <c r="AI317" s="285"/>
      <c r="AJ317" s="285"/>
      <c r="AK317" s="285"/>
    </row>
    <row r="318" spans="1:37" ht="13.5" customHeight="1">
      <c r="A318" s="201" t="s">
        <v>263</v>
      </c>
      <c r="B318" s="189" t="e">
        <f t="shared" si="12"/>
        <v>#N/A</v>
      </c>
      <c r="C318" s="189" t="e">
        <f t="shared" si="12"/>
        <v>#N/A</v>
      </c>
      <c r="D318" s="202" t="e">
        <f>$B$260*F280</f>
        <v>#N/A</v>
      </c>
      <c r="E318" s="202" t="e">
        <f>$B$257*E281</f>
        <v>#N/A</v>
      </c>
      <c r="F318" s="202" t="e">
        <f>D318+E318</f>
        <v>#N/A</v>
      </c>
      <c r="G318" s="202" t="e">
        <f>$B$260*F281</f>
        <v>#N/A</v>
      </c>
      <c r="H318" s="202" t="e">
        <f>$B$257*E280</f>
        <v>#N/A</v>
      </c>
      <c r="I318" s="202" t="e">
        <f>G318+H318</f>
        <v>#N/A</v>
      </c>
      <c r="J318" s="57" t="e">
        <f>IF(B318="N/A","N/A",IF(B318&gt;F318,"NG","OK"))</f>
        <v>#N/A</v>
      </c>
      <c r="K318" s="57" t="e">
        <f>IF(C318="N/A","N/A",IF(C318&gt;I318,"NG","OK"))</f>
        <v>#N/A</v>
      </c>
      <c r="L318" s="61" t="e">
        <f>IF(B318="N/A","N/A",F318/B318)</f>
        <v>#N/A</v>
      </c>
      <c r="M318" s="61" t="e">
        <f>IF(C318="N/A","N/A",I318/C318)</f>
        <v>#N/A</v>
      </c>
      <c r="N318" s="112"/>
      <c r="O318" s="112"/>
      <c r="P318" s="112"/>
      <c r="Q318" s="112"/>
      <c r="R318" s="112"/>
      <c r="S318" s="112"/>
      <c r="T318" s="112"/>
      <c r="U318" s="112"/>
      <c r="V318" s="112"/>
      <c r="W318" s="112"/>
      <c r="X318" s="112"/>
      <c r="Y318" s="147"/>
      <c r="Z318" s="279"/>
      <c r="AB318" s="280" t="e">
        <f>IF(OR(AD318="N/A",AE318="N/A"),0,1)</f>
        <v>#N/A</v>
      </c>
      <c r="AC318" s="285" t="e">
        <f>IF(OR(AD318="NG",AE318="NG",AF318="NG",AG318="NG",AH318="NG"),1,0)</f>
        <v>#N/A</v>
      </c>
      <c r="AD318" s="286" t="e">
        <f t="shared" si="13"/>
        <v>#N/A</v>
      </c>
      <c r="AE318" s="286" t="e">
        <f t="shared" si="13"/>
        <v>#N/A</v>
      </c>
      <c r="AF318" s="286" t="e">
        <f t="shared" si="13"/>
        <v>#N/A</v>
      </c>
      <c r="AG318" s="286" t="e">
        <f t="shared" si="13"/>
        <v>#N/A</v>
      </c>
      <c r="AH318" s="285"/>
      <c r="AI318" s="285"/>
      <c r="AJ318" s="285"/>
      <c r="AK318" s="285"/>
    </row>
    <row r="319" spans="1:37">
      <c r="A319" s="201" t="s">
        <v>21</v>
      </c>
      <c r="B319" s="189" t="e">
        <f t="shared" si="12"/>
        <v>#N/A</v>
      </c>
      <c r="C319" s="189" t="e">
        <f t="shared" si="12"/>
        <v>#N/A</v>
      </c>
      <c r="D319" s="202" t="e">
        <f>$B$260*F282</f>
        <v>#N/A</v>
      </c>
      <c r="E319" s="202" t="e">
        <f>$B$257*E283</f>
        <v>#N/A</v>
      </c>
      <c r="F319" s="202" t="e">
        <f>D319+E319</f>
        <v>#N/A</v>
      </c>
      <c r="G319" s="202" t="e">
        <f>$B$260*F283</f>
        <v>#N/A</v>
      </c>
      <c r="H319" s="202" t="e">
        <f>$B$257*E282</f>
        <v>#N/A</v>
      </c>
      <c r="I319" s="202" t="e">
        <f>G319+H319</f>
        <v>#N/A</v>
      </c>
      <c r="J319" s="57" t="e">
        <f>IF(B319="N/A","N/A",IF(B319&gt;F319,"NG","OK"))</f>
        <v>#N/A</v>
      </c>
      <c r="K319" s="57" t="e">
        <f>IF(C319="N/A","N/A",IF(C319&gt;I319,"NG","OK"))</f>
        <v>#N/A</v>
      </c>
      <c r="L319" s="61" t="e">
        <f>IF(B319="N/A","N/A",F319/B319)</f>
        <v>#N/A</v>
      </c>
      <c r="M319" s="61" t="e">
        <f>IF(C319="N/A","N/A",I319/C319)</f>
        <v>#N/A</v>
      </c>
      <c r="N319" s="112"/>
      <c r="O319" s="112"/>
      <c r="P319" s="112"/>
      <c r="Q319" s="112"/>
      <c r="R319" s="112"/>
      <c r="S319" s="112"/>
      <c r="T319" s="112"/>
      <c r="U319" s="112"/>
      <c r="V319" s="112"/>
      <c r="W319" s="112"/>
      <c r="X319" s="112"/>
      <c r="Y319" s="147"/>
      <c r="Z319" s="279"/>
      <c r="AB319" s="280" t="e">
        <f>IF(OR(AD319="N/A",AE319="N/A"),0,1)</f>
        <v>#N/A</v>
      </c>
      <c r="AC319" s="285" t="e">
        <f>IF(OR(AD319="NG",AE319="NG",AF319="NG",AG319="NG",AH319="NG"),1,0)</f>
        <v>#N/A</v>
      </c>
      <c r="AD319" s="286" t="e">
        <f t="shared" si="13"/>
        <v>#N/A</v>
      </c>
      <c r="AE319" s="286" t="e">
        <f t="shared" si="13"/>
        <v>#N/A</v>
      </c>
      <c r="AF319" s="286" t="e">
        <f t="shared" si="13"/>
        <v>#N/A</v>
      </c>
      <c r="AG319" s="286" t="e">
        <f t="shared" si="13"/>
        <v>#N/A</v>
      </c>
      <c r="AH319" s="285"/>
      <c r="AI319" s="285"/>
      <c r="AJ319" s="285"/>
      <c r="AK319" s="285"/>
    </row>
    <row r="320" spans="1:37">
      <c r="A320" s="201" t="s">
        <v>264</v>
      </c>
      <c r="B320" s="189" t="e">
        <f t="shared" si="12"/>
        <v>#N/A</v>
      </c>
      <c r="C320" s="189" t="e">
        <f t="shared" si="12"/>
        <v>#N/A</v>
      </c>
      <c r="D320" s="202" t="e">
        <f>$B$260*F284</f>
        <v>#N/A</v>
      </c>
      <c r="E320" s="202" t="e">
        <f>$B$257*E285</f>
        <v>#N/A</v>
      </c>
      <c r="F320" s="202" t="e">
        <f>D320+E320</f>
        <v>#N/A</v>
      </c>
      <c r="G320" s="202" t="e">
        <f>$B$260*F285</f>
        <v>#N/A</v>
      </c>
      <c r="H320" s="202" t="e">
        <f>$B$257*E284</f>
        <v>#N/A</v>
      </c>
      <c r="I320" s="202" t="e">
        <f>G320+H320</f>
        <v>#N/A</v>
      </c>
      <c r="J320" s="57" t="e">
        <f>IF(B320="N/A","N/A",IF(B320&gt;F320,"NG","OK"))</f>
        <v>#N/A</v>
      </c>
      <c r="K320" s="57" t="e">
        <f>IF(C320="N/A","N/A",IF(C320&gt;I320,"NG","OK"))</f>
        <v>#N/A</v>
      </c>
      <c r="L320" s="61" t="e">
        <f>IF(B320="N/A","N/A",F320/B320)</f>
        <v>#N/A</v>
      </c>
      <c r="M320" s="61" t="e">
        <f>IF(C320="N/A","N/A",I320/C320)</f>
        <v>#N/A</v>
      </c>
      <c r="N320" s="112"/>
      <c r="O320" s="112"/>
      <c r="P320" s="112"/>
      <c r="Q320" s="112"/>
      <c r="R320" s="112"/>
      <c r="S320" s="112"/>
      <c r="T320" s="112"/>
      <c r="U320" s="112"/>
      <c r="V320" s="112"/>
      <c r="W320" s="112"/>
      <c r="X320" s="112"/>
      <c r="Y320" s="147"/>
      <c r="Z320" s="279"/>
      <c r="AB320" s="280" t="e">
        <f>IF(OR(AD320="N/A",AE320="N/A"),0,1)</f>
        <v>#N/A</v>
      </c>
      <c r="AC320" s="285" t="e">
        <f>IF(OR(AD320="NG",AE320="NG",AF320="NG",AG320="NG",AH320="NG"),1,0)</f>
        <v>#N/A</v>
      </c>
      <c r="AD320" s="286" t="e">
        <f t="shared" si="13"/>
        <v>#N/A</v>
      </c>
      <c r="AE320" s="286" t="e">
        <f t="shared" si="13"/>
        <v>#N/A</v>
      </c>
      <c r="AF320" s="286" t="e">
        <f t="shared" si="13"/>
        <v>#N/A</v>
      </c>
      <c r="AG320" s="286" t="e">
        <f t="shared" si="13"/>
        <v>#N/A</v>
      </c>
      <c r="AH320" s="285"/>
      <c r="AI320" s="285"/>
      <c r="AJ320" s="285"/>
      <c r="AK320" s="285"/>
    </row>
    <row r="321" spans="1:37">
      <c r="A321" s="100"/>
      <c r="B321" s="100"/>
      <c r="C321" s="100"/>
      <c r="D321" s="100"/>
      <c r="E321" s="100"/>
      <c r="F321" s="112"/>
      <c r="G321" s="112"/>
      <c r="H321" s="112"/>
      <c r="I321" s="112"/>
      <c r="J321" s="112"/>
      <c r="K321" s="112"/>
      <c r="L321" s="112"/>
      <c r="M321" s="112"/>
      <c r="N321" s="112"/>
      <c r="O321" s="112"/>
      <c r="P321" s="112"/>
      <c r="Q321" s="112"/>
      <c r="R321" s="112"/>
      <c r="S321" s="112"/>
      <c r="T321" s="112"/>
      <c r="U321" s="112"/>
      <c r="V321" s="112"/>
      <c r="W321" s="112"/>
      <c r="X321" s="112"/>
      <c r="Y321" s="147"/>
      <c r="Z321" s="279"/>
      <c r="AC321" s="285" t="e">
        <f>IF(AND(AD321="N/A",AE321="N/A",AF321="N/A",AG321="N/A"),"N/A","OK")</f>
        <v>#N/A</v>
      </c>
      <c r="AD321" s="286" t="e">
        <f>IF(AND(AD317="N/A",AD318="N/A",AD319="N/A",AD320="N/A"),"N/A","OK")</f>
        <v>#N/A</v>
      </c>
      <c r="AE321" s="286" t="e">
        <f>IF(AND(AE317="N/A",AE318="N/A",AE319="N/A",AE320="N/A"),"N/A","OK")</f>
        <v>#N/A</v>
      </c>
      <c r="AF321" s="286" t="e">
        <f>IF(AND(AF317="N/A",AF318="N/A",AF319="N/A",AF320="N/A"),"N/A","OK")</f>
        <v>#N/A</v>
      </c>
      <c r="AG321" s="286" t="e">
        <f>IF(AND(AG317="N/A",AG318="N/A",AG319="N/A",AG320="N/A"),"N/A","OK")</f>
        <v>#N/A</v>
      </c>
      <c r="AH321" s="285"/>
      <c r="AI321" s="285"/>
      <c r="AJ321" s="285"/>
      <c r="AK321" s="285"/>
    </row>
    <row r="322" spans="1:37">
      <c r="A322" s="100"/>
      <c r="B322" s="100"/>
      <c r="C322" s="100"/>
      <c r="D322" s="100"/>
      <c r="E322" s="100"/>
      <c r="F322" s="112"/>
      <c r="G322" s="112"/>
      <c r="H322" s="112"/>
      <c r="I322" s="112"/>
      <c r="J322" s="112"/>
      <c r="K322" s="112"/>
      <c r="L322" s="112"/>
      <c r="M322" s="112"/>
      <c r="N322" s="112"/>
      <c r="O322" s="112"/>
      <c r="P322" s="112"/>
      <c r="Q322" s="112"/>
      <c r="R322" s="112"/>
      <c r="S322" s="112"/>
      <c r="T322" s="112"/>
      <c r="U322" s="112"/>
      <c r="V322" s="112"/>
      <c r="W322" s="112"/>
      <c r="X322" s="112"/>
      <c r="Y322" s="147"/>
      <c r="Z322" s="279"/>
      <c r="AC322" s="285"/>
      <c r="AD322" s="285"/>
      <c r="AE322" s="285"/>
      <c r="AF322" s="285"/>
      <c r="AG322" s="285"/>
      <c r="AH322" s="285"/>
      <c r="AI322" s="285"/>
      <c r="AJ322" s="285"/>
      <c r="AK322" s="285"/>
    </row>
    <row r="323" spans="1:37">
      <c r="A323" s="101" t="s">
        <v>425</v>
      </c>
      <c r="B323" s="100"/>
      <c r="C323" s="100"/>
      <c r="D323" s="100"/>
      <c r="E323" s="100"/>
      <c r="F323" s="112"/>
      <c r="G323" s="112"/>
      <c r="H323" s="112"/>
      <c r="I323" s="112"/>
      <c r="J323" s="112"/>
      <c r="K323" s="112"/>
      <c r="L323" s="112"/>
      <c r="M323" s="112"/>
      <c r="N323" s="112"/>
      <c r="O323" s="112"/>
      <c r="P323" s="112"/>
      <c r="Q323" s="112"/>
      <c r="R323" s="112"/>
      <c r="S323" s="112"/>
      <c r="T323" s="112"/>
      <c r="U323" s="112"/>
      <c r="V323" s="112"/>
      <c r="W323" s="112"/>
      <c r="X323" s="112"/>
      <c r="Y323" s="147"/>
      <c r="Z323" s="279"/>
      <c r="AC323" s="285"/>
      <c r="AD323" s="285"/>
      <c r="AE323" s="285"/>
      <c r="AF323" s="285"/>
      <c r="AG323" s="285"/>
      <c r="AH323" s="285"/>
      <c r="AI323" s="285"/>
      <c r="AJ323" s="285"/>
      <c r="AK323" s="285"/>
    </row>
    <row r="324" spans="1:37" ht="36">
      <c r="A324" s="203" t="s">
        <v>98</v>
      </c>
      <c r="B324" s="381" t="s">
        <v>344</v>
      </c>
      <c r="C324" s="381" t="s">
        <v>345</v>
      </c>
      <c r="D324" s="381" t="s">
        <v>349</v>
      </c>
      <c r="E324" s="381" t="s">
        <v>332</v>
      </c>
      <c r="F324" s="112"/>
      <c r="G324" s="112"/>
      <c r="H324" s="112"/>
      <c r="I324" s="112"/>
      <c r="J324" s="112"/>
      <c r="K324" s="112"/>
      <c r="L324" s="112"/>
      <c r="M324" s="112"/>
      <c r="N324" s="112"/>
      <c r="O324" s="112"/>
      <c r="P324" s="112"/>
      <c r="Q324" s="112"/>
      <c r="R324" s="112"/>
      <c r="S324" s="112"/>
      <c r="T324" s="112"/>
      <c r="U324" s="112"/>
      <c r="V324" s="112"/>
      <c r="W324" s="112"/>
      <c r="X324" s="112"/>
      <c r="Y324" s="147"/>
      <c r="Z324" s="279"/>
      <c r="AC324" s="285"/>
      <c r="AD324" s="285"/>
      <c r="AE324" s="285"/>
      <c r="AF324" s="285"/>
      <c r="AG324" s="285"/>
      <c r="AH324" s="285"/>
      <c r="AI324" s="285"/>
      <c r="AJ324" s="285"/>
      <c r="AK324" s="285"/>
    </row>
    <row r="325" spans="1:37">
      <c r="A325" s="201" t="s">
        <v>20</v>
      </c>
      <c r="B325" s="382" t="e">
        <f>IF(OR($D$269="Tension",$D$269="Reversal"),$E$269, "N/A")</f>
        <v>#N/A</v>
      </c>
      <c r="C325" s="382" t="e">
        <f>IF(OR($D$269="Tension",$D$269="Reversal"),$G$269, "N/A")</f>
        <v>#N/A</v>
      </c>
      <c r="D325" s="382" t="e">
        <f>IF(OR($B$325="N/A",$C$325="N/A"),"N/A",$F$317)</f>
        <v>#N/A</v>
      </c>
      <c r="E325" s="382" t="e">
        <f>IF(D325="N/A","N/A",(D325-B325)/C325)</f>
        <v>#N/A</v>
      </c>
      <c r="F325" s="112"/>
      <c r="G325" s="112"/>
      <c r="H325" s="112"/>
      <c r="I325" s="112"/>
      <c r="J325" s="112"/>
      <c r="K325" s="112"/>
      <c r="L325" s="112"/>
      <c r="M325" s="112"/>
      <c r="N325" s="112"/>
      <c r="O325" s="112"/>
      <c r="P325" s="112"/>
      <c r="Q325" s="112"/>
      <c r="R325" s="112"/>
      <c r="S325" s="112"/>
      <c r="T325" s="112"/>
      <c r="U325" s="112"/>
      <c r="V325" s="112"/>
      <c r="W325" s="112"/>
      <c r="X325" s="112"/>
      <c r="Y325" s="147"/>
      <c r="Z325" s="279"/>
      <c r="AC325" s="285"/>
      <c r="AD325" s="285"/>
      <c r="AE325" s="285"/>
      <c r="AF325" s="285"/>
      <c r="AG325" s="285"/>
      <c r="AH325" s="285"/>
      <c r="AI325" s="285"/>
      <c r="AJ325" s="285"/>
      <c r="AK325" s="285"/>
    </row>
    <row r="326" spans="1:37">
      <c r="A326" s="201" t="s">
        <v>263</v>
      </c>
      <c r="B326" s="382" t="e">
        <f>IF(OR($D$269="Tension",$D$269="Reversal"),IF(OR($D$271="Tension",$D$271="Reversal"),$E$269+$E$271,$E$269), "N/A")</f>
        <v>#N/A</v>
      </c>
      <c r="C326" s="382" t="e">
        <f>IF(OR($D$269="Tension",$D$269="Reversal"),IF(OR($D$271="Tension",$D$271="Reversal"),$G$269+$G$271,$G$269), "N/A")</f>
        <v>#N/A</v>
      </c>
      <c r="D326" s="382" t="e">
        <f>IF(OR($B$326="N/A",$C$326="N/A"),"N/A",$F$318)</f>
        <v>#N/A</v>
      </c>
      <c r="E326" s="382" t="e">
        <f>IF(D326="N/A","N/A",(D326-B326)/C326)</f>
        <v>#N/A</v>
      </c>
      <c r="F326" s="112"/>
      <c r="G326" s="112"/>
      <c r="H326" s="112"/>
      <c r="I326" s="112"/>
      <c r="J326" s="112"/>
      <c r="K326" s="112"/>
      <c r="L326" s="112"/>
      <c r="M326" s="112"/>
      <c r="N326" s="112"/>
      <c r="O326" s="112"/>
      <c r="P326" s="112"/>
      <c r="Q326" s="112"/>
      <c r="R326" s="112"/>
      <c r="S326" s="112"/>
      <c r="T326" s="112"/>
      <c r="U326" s="112"/>
      <c r="V326" s="112"/>
      <c r="W326" s="112"/>
      <c r="X326" s="112"/>
      <c r="Y326" s="147"/>
      <c r="Z326" s="279"/>
      <c r="AC326" s="285"/>
      <c r="AD326" s="285"/>
      <c r="AE326" s="285"/>
      <c r="AF326" s="285"/>
      <c r="AG326" s="285"/>
      <c r="AH326" s="285"/>
      <c r="AI326" s="285"/>
      <c r="AJ326" s="285"/>
      <c r="AK326" s="285"/>
    </row>
    <row r="327" spans="1:37">
      <c r="A327" s="201" t="s">
        <v>21</v>
      </c>
      <c r="B327" s="382" t="e">
        <f>IF(OR($D$270="Tension",$D$270="Reversal"),$E$270, "N/A")</f>
        <v>#N/A</v>
      </c>
      <c r="C327" s="382" t="e">
        <f>IF(OR($D$270="Tension",$D$270="Reversal"),$G$270, "N/A")</f>
        <v>#N/A</v>
      </c>
      <c r="D327" s="382" t="e">
        <f>IF(OR($B$327="N/A",$C$327="N/A"),"N/A",$F$319)</f>
        <v>#N/A</v>
      </c>
      <c r="E327" s="382" t="e">
        <f>IF(D327="N/A","N/A",(D327-B327)/C327)</f>
        <v>#N/A</v>
      </c>
      <c r="F327" s="112"/>
      <c r="G327" s="112"/>
      <c r="H327" s="112"/>
      <c r="I327" s="112"/>
      <c r="J327" s="112"/>
      <c r="K327" s="112"/>
      <c r="L327" s="112"/>
      <c r="M327" s="112"/>
      <c r="N327" s="112"/>
      <c r="O327" s="112"/>
      <c r="P327" s="112"/>
      <c r="Q327" s="112"/>
      <c r="R327" s="112"/>
      <c r="S327" s="112"/>
      <c r="T327" s="112"/>
      <c r="U327" s="112"/>
      <c r="V327" s="112"/>
      <c r="W327" s="112"/>
      <c r="X327" s="112"/>
      <c r="Y327" s="147"/>
      <c r="Z327" s="279"/>
      <c r="AC327" s="285"/>
      <c r="AD327" s="285"/>
      <c r="AE327" s="285"/>
      <c r="AF327" s="285"/>
      <c r="AG327" s="285"/>
      <c r="AH327" s="285"/>
      <c r="AI327" s="285"/>
      <c r="AJ327" s="285"/>
      <c r="AK327" s="285"/>
    </row>
    <row r="328" spans="1:37">
      <c r="A328" s="201" t="s">
        <v>264</v>
      </c>
      <c r="B328" s="382" t="e">
        <f>IF(OR($D$270="Tension",$D$270="Reversal"),IF(OR($D$271="Tension",$D$271="Reversal"),$E$270+$E$271,$E$270), "N/A")</f>
        <v>#N/A</v>
      </c>
      <c r="C328" s="382" t="e">
        <f>IF(OR($D$270="Tension",$D$270="Reversal"),IF(OR($D$271="Tension",$D$271="Reversal"),$G$270+$G$271,$G$270), "N/A")</f>
        <v>#N/A</v>
      </c>
      <c r="D328" s="382" t="e">
        <f>IF(OR($B$328="N/A",$C$328="N/A"),"N/A",$F$320)</f>
        <v>#N/A</v>
      </c>
      <c r="E328" s="382" t="e">
        <f>IF(D328="N/A","N/A",(D328-B328)/C328)</f>
        <v>#N/A</v>
      </c>
      <c r="F328" s="112"/>
      <c r="G328" s="112"/>
      <c r="H328" s="112"/>
      <c r="I328" s="112"/>
      <c r="J328" s="112"/>
      <c r="K328" s="112"/>
      <c r="L328" s="112"/>
      <c r="M328" s="112"/>
      <c r="N328" s="112"/>
      <c r="O328" s="112"/>
      <c r="P328" s="112"/>
      <c r="Q328" s="112"/>
      <c r="R328" s="112"/>
      <c r="S328" s="112"/>
      <c r="T328" s="112"/>
      <c r="U328" s="112"/>
      <c r="V328" s="112"/>
      <c r="W328" s="112"/>
      <c r="X328" s="112"/>
      <c r="Y328" s="147"/>
      <c r="Z328" s="279"/>
      <c r="AC328" s="285"/>
      <c r="AD328" s="285"/>
      <c r="AE328" s="285"/>
      <c r="AF328" s="285"/>
      <c r="AG328" s="285"/>
      <c r="AH328" s="285"/>
      <c r="AI328" s="285"/>
      <c r="AJ328" s="285"/>
      <c r="AK328" s="285"/>
    </row>
    <row r="329" spans="1:37">
      <c r="A329" s="100"/>
      <c r="B329" s="100"/>
      <c r="C329" s="100"/>
      <c r="D329" s="100"/>
      <c r="E329" s="100"/>
      <c r="F329" s="112"/>
      <c r="G329" s="112"/>
      <c r="H329" s="112"/>
      <c r="I329" s="112"/>
      <c r="J329" s="112"/>
      <c r="K329" s="112"/>
      <c r="L329" s="112"/>
      <c r="M329" s="112"/>
      <c r="N329" s="112"/>
      <c r="O329" s="112"/>
      <c r="P329" s="112"/>
      <c r="Q329" s="112"/>
      <c r="R329" s="112"/>
      <c r="S329" s="112"/>
      <c r="T329" s="112"/>
      <c r="U329" s="112"/>
      <c r="V329" s="112"/>
      <c r="W329" s="112"/>
      <c r="X329" s="112"/>
      <c r="Y329" s="147"/>
      <c r="Z329" s="279"/>
      <c r="AC329" s="285"/>
      <c r="AD329" s="285"/>
      <c r="AE329" s="285"/>
      <c r="AF329" s="285"/>
      <c r="AG329" s="285"/>
      <c r="AH329" s="285"/>
      <c r="AI329" s="285"/>
      <c r="AJ329" s="285"/>
      <c r="AK329" s="285"/>
    </row>
    <row r="330" spans="1:37">
      <c r="A330" s="100"/>
      <c r="B330" s="100"/>
      <c r="C330" s="100"/>
      <c r="D330" s="100"/>
      <c r="E330" s="100"/>
      <c r="F330" s="112"/>
      <c r="G330" s="112"/>
      <c r="H330" s="112"/>
      <c r="I330" s="112"/>
      <c r="J330" s="112"/>
      <c r="K330" s="112"/>
      <c r="L330" s="112"/>
      <c r="M330" s="112"/>
      <c r="N330" s="112"/>
      <c r="O330" s="112"/>
      <c r="P330" s="112"/>
      <c r="Q330" s="112"/>
      <c r="R330" s="112"/>
      <c r="S330" s="112"/>
      <c r="T330" s="112"/>
      <c r="U330" s="112"/>
      <c r="V330" s="112"/>
      <c r="W330" s="112"/>
      <c r="X330" s="112"/>
      <c r="Y330" s="147"/>
      <c r="Z330" s="279"/>
      <c r="AC330" s="285"/>
      <c r="AD330" s="285"/>
      <c r="AE330" s="285"/>
      <c r="AF330" s="285"/>
      <c r="AG330" s="285"/>
      <c r="AH330" s="285"/>
      <c r="AI330" s="285"/>
      <c r="AJ330" s="285"/>
      <c r="AK330" s="285"/>
    </row>
    <row r="331" spans="1:37">
      <c r="A331" s="101" t="s">
        <v>426</v>
      </c>
      <c r="B331" s="100"/>
      <c r="C331" s="100"/>
      <c r="D331" s="100"/>
      <c r="E331" s="100"/>
      <c r="F331" s="112"/>
      <c r="G331" s="112"/>
      <c r="H331" s="112"/>
      <c r="I331" s="112"/>
      <c r="J331" s="112"/>
      <c r="K331" s="112"/>
      <c r="L331" s="112"/>
      <c r="M331" s="112"/>
      <c r="N331" s="112"/>
      <c r="O331" s="112"/>
      <c r="P331" s="112"/>
      <c r="Q331" s="112"/>
      <c r="R331" s="112"/>
      <c r="S331" s="112"/>
      <c r="T331" s="112"/>
      <c r="U331" s="112"/>
      <c r="V331" s="112"/>
      <c r="W331" s="112"/>
      <c r="X331" s="112"/>
      <c r="Y331" s="147"/>
      <c r="Z331" s="279"/>
      <c r="AC331" s="285"/>
      <c r="AD331" s="285"/>
      <c r="AE331" s="285"/>
      <c r="AF331" s="285"/>
      <c r="AG331" s="285"/>
      <c r="AH331" s="285"/>
      <c r="AI331" s="285"/>
      <c r="AJ331" s="285"/>
      <c r="AK331" s="285"/>
    </row>
    <row r="332" spans="1:37" ht="36">
      <c r="A332" s="203" t="s">
        <v>98</v>
      </c>
      <c r="B332" s="381" t="s">
        <v>346</v>
      </c>
      <c r="C332" s="381" t="s">
        <v>347</v>
      </c>
      <c r="D332" s="381" t="s">
        <v>348</v>
      </c>
      <c r="E332" s="381" t="s">
        <v>332</v>
      </c>
      <c r="F332" s="112"/>
      <c r="G332" s="112"/>
      <c r="H332" s="112"/>
      <c r="I332" s="112"/>
      <c r="J332" s="112"/>
      <c r="K332" s="112"/>
      <c r="L332" s="112"/>
      <c r="M332" s="112"/>
      <c r="N332" s="112"/>
      <c r="O332" s="112"/>
      <c r="P332" s="112"/>
      <c r="Q332" s="112"/>
      <c r="R332" s="112"/>
      <c r="S332" s="112"/>
      <c r="T332" s="112"/>
      <c r="U332" s="112"/>
      <c r="V332" s="112"/>
      <c r="W332" s="112"/>
      <c r="X332" s="112"/>
      <c r="Y332" s="147"/>
      <c r="Z332" s="279"/>
      <c r="AB332" s="286" t="s">
        <v>413</v>
      </c>
      <c r="AC332" s="285"/>
      <c r="AD332" s="285"/>
      <c r="AE332" s="285"/>
      <c r="AF332" s="285"/>
      <c r="AG332" s="285"/>
      <c r="AH332" s="285"/>
      <c r="AI332" s="285"/>
      <c r="AJ332" s="285"/>
      <c r="AK332" s="285"/>
    </row>
    <row r="333" spans="1:37">
      <c r="A333" s="201" t="s">
        <v>20</v>
      </c>
      <c r="B333" s="382" t="e">
        <f>IF(OR($D$269="Tension",$D$269="Reversal"),$F$269, "N/A")</f>
        <v>#N/A</v>
      </c>
      <c r="C333" s="382" t="e">
        <f>IF(OR($D$269="Tension",$D$269="Reversal"),$H$269, "N/A")</f>
        <v>#N/A</v>
      </c>
      <c r="D333" s="382" t="e">
        <f>IF(OR($B$307="N/A",$C$307="N/A"),"N/A",$I$317)</f>
        <v>#N/A</v>
      </c>
      <c r="E333" s="382" t="e">
        <f>IF(D333="N/A","N/A",(D333-B333)/C333)</f>
        <v>#N/A</v>
      </c>
      <c r="F333" s="112"/>
      <c r="G333" s="112"/>
      <c r="H333" s="112"/>
      <c r="I333" s="112"/>
      <c r="J333" s="112"/>
      <c r="K333" s="112"/>
      <c r="L333" s="112"/>
      <c r="M333" s="112"/>
      <c r="N333" s="112"/>
      <c r="O333" s="112"/>
      <c r="P333" s="112"/>
      <c r="Q333" s="112"/>
      <c r="R333" s="112"/>
      <c r="S333" s="112"/>
      <c r="T333" s="112"/>
      <c r="U333" s="112"/>
      <c r="V333" s="112"/>
      <c r="W333" s="112"/>
      <c r="X333" s="112"/>
      <c r="Y333" s="147"/>
      <c r="Z333" s="279"/>
      <c r="AB333" s="287" t="e">
        <f>E333</f>
        <v>#N/A</v>
      </c>
      <c r="AC333" s="285"/>
      <c r="AD333" s="285"/>
      <c r="AE333" s="285"/>
      <c r="AF333" s="285"/>
      <c r="AG333" s="285"/>
      <c r="AH333" s="285"/>
      <c r="AI333" s="285"/>
      <c r="AJ333" s="285"/>
      <c r="AK333" s="285"/>
    </row>
    <row r="334" spans="1:37">
      <c r="A334" s="201" t="s">
        <v>263</v>
      </c>
      <c r="B334" s="382" t="e">
        <f>IF(OR($D$269="Tension",$D$269="Reversal"),IF(OR($D$271="Tension",$D$271="Reversal"),$F$269+$F$271,$F$269), "N/A")</f>
        <v>#N/A</v>
      </c>
      <c r="C334" s="382" t="e">
        <f>IF(OR($D$269="Tension",$D$269="Reversal"),IF(OR($D$271="Tension",$D$271="Reversal"),$H$269+$H$271,$H$269), "N/A")</f>
        <v>#N/A</v>
      </c>
      <c r="D334" s="382" t="e">
        <f>IF(OR($B$308="N/A",$C$308="N/A"),"N/A",$I$318)</f>
        <v>#N/A</v>
      </c>
      <c r="E334" s="382" t="e">
        <f>IF(D334="N/A","N/A",(D334-B334)/C334)</f>
        <v>#N/A</v>
      </c>
      <c r="F334" s="112"/>
      <c r="G334" s="112"/>
      <c r="H334" s="112"/>
      <c r="I334" s="112"/>
      <c r="J334" s="112"/>
      <c r="K334" s="112"/>
      <c r="L334" s="112"/>
      <c r="M334" s="112"/>
      <c r="N334" s="112"/>
      <c r="O334" s="112"/>
      <c r="P334" s="112"/>
      <c r="Q334" s="112"/>
      <c r="R334" s="112"/>
      <c r="S334" s="112"/>
      <c r="T334" s="112"/>
      <c r="U334" s="112"/>
      <c r="V334" s="112"/>
      <c r="W334" s="112"/>
      <c r="X334" s="112"/>
      <c r="Y334" s="147"/>
      <c r="Z334" s="279"/>
      <c r="AB334" s="287" t="e">
        <f>E334</f>
        <v>#N/A</v>
      </c>
      <c r="AC334" s="285"/>
      <c r="AD334" s="285"/>
      <c r="AE334" s="285"/>
      <c r="AF334" s="285"/>
      <c r="AG334" s="285"/>
      <c r="AH334" s="285"/>
      <c r="AI334" s="285"/>
      <c r="AJ334" s="285"/>
      <c r="AK334" s="285"/>
    </row>
    <row r="335" spans="1:37">
      <c r="A335" s="201" t="s">
        <v>21</v>
      </c>
      <c r="B335" s="382" t="e">
        <f>IF(OR($D$270="Tension",$D$270="Reversal"),$F$270, "N/A")</f>
        <v>#N/A</v>
      </c>
      <c r="C335" s="382" t="e">
        <f>IF(OR($D$270="Tension",$D$270="Reversal"),$H$270, "N/A")</f>
        <v>#N/A</v>
      </c>
      <c r="D335" s="382" t="e">
        <f>IF(OR($B$309="N/A",$C$309="N/A"),"N/A",$I$319)</f>
        <v>#N/A</v>
      </c>
      <c r="E335" s="382" t="e">
        <f>IF(D335="N/A","N/A",(D335-B335)/C335)</f>
        <v>#N/A</v>
      </c>
      <c r="F335" s="112"/>
      <c r="G335" s="112"/>
      <c r="H335" s="112"/>
      <c r="I335" s="112"/>
      <c r="J335" s="112"/>
      <c r="K335" s="112"/>
      <c r="L335" s="112"/>
      <c r="M335" s="112"/>
      <c r="N335" s="112"/>
      <c r="O335" s="112"/>
      <c r="P335" s="112"/>
      <c r="Q335" s="112"/>
      <c r="R335" s="112"/>
      <c r="S335" s="112"/>
      <c r="T335" s="112"/>
      <c r="U335" s="112"/>
      <c r="V335" s="112"/>
      <c r="W335" s="112"/>
      <c r="X335" s="112"/>
      <c r="Y335" s="147"/>
      <c r="Z335" s="279"/>
      <c r="AB335" s="287" t="e">
        <f>E335</f>
        <v>#N/A</v>
      </c>
      <c r="AC335" s="285"/>
      <c r="AD335" s="285"/>
      <c r="AE335" s="285"/>
      <c r="AF335" s="285"/>
      <c r="AG335" s="285"/>
      <c r="AH335" s="285"/>
      <c r="AI335" s="285"/>
      <c r="AJ335" s="285"/>
      <c r="AK335" s="285"/>
    </row>
    <row r="336" spans="1:37">
      <c r="A336" s="201" t="s">
        <v>264</v>
      </c>
      <c r="B336" s="382" t="e">
        <f>IF(OR($D$270="Tension",$D$270="Reversal"),IF(OR($D$271="Tension",$D$271="Reversal"),$F$270+$F$271,$F$270), "N/A")</f>
        <v>#N/A</v>
      </c>
      <c r="C336" s="382" t="e">
        <f>IF(OR($D$270="Tension",$D$270="Reversal"),IF(OR($D$271="Tension",$D$271="Reversal"),$H$270+$H$271,$H$270), "N/A")</f>
        <v>#N/A</v>
      </c>
      <c r="D336" s="382" t="e">
        <f>IF(OR($B$310="N/A",$C$310="N/A"),"N/A",$I$320)</f>
        <v>#N/A</v>
      </c>
      <c r="E336" s="382" t="e">
        <f>IF(D336="N/A","N/A",(D336-B336)/C336)</f>
        <v>#N/A</v>
      </c>
      <c r="F336" s="112"/>
      <c r="G336" s="112"/>
      <c r="H336" s="112"/>
      <c r="I336" s="112"/>
      <c r="J336" s="112"/>
      <c r="K336" s="112"/>
      <c r="L336" s="112"/>
      <c r="M336" s="112"/>
      <c r="N336" s="112"/>
      <c r="O336" s="112"/>
      <c r="P336" s="112"/>
      <c r="Q336" s="112"/>
      <c r="R336" s="112"/>
      <c r="S336" s="112"/>
      <c r="T336" s="112"/>
      <c r="U336" s="112"/>
      <c r="V336" s="112"/>
      <c r="W336" s="112"/>
      <c r="X336" s="112"/>
      <c r="Y336" s="147"/>
      <c r="Z336" s="279"/>
      <c r="AB336" s="287" t="e">
        <f>E336</f>
        <v>#N/A</v>
      </c>
      <c r="AC336" s="285"/>
      <c r="AD336" s="285"/>
      <c r="AE336" s="285"/>
      <c r="AF336" s="285"/>
      <c r="AG336" s="285"/>
      <c r="AH336" s="285"/>
      <c r="AI336" s="285"/>
      <c r="AJ336" s="285"/>
      <c r="AK336" s="285"/>
    </row>
    <row r="337" spans="1:37">
      <c r="A337" s="112"/>
      <c r="B337" s="112"/>
      <c r="C337" s="112"/>
      <c r="D337" s="112"/>
      <c r="E337" s="112"/>
      <c r="F337" s="112"/>
      <c r="G337" s="112"/>
      <c r="H337" s="112"/>
      <c r="I337" s="112"/>
      <c r="J337" s="112"/>
      <c r="K337" s="112"/>
      <c r="L337" s="112"/>
      <c r="M337" s="112"/>
      <c r="N337" s="112"/>
      <c r="O337" s="112"/>
      <c r="P337" s="112"/>
      <c r="Q337" s="112"/>
      <c r="R337" s="112"/>
      <c r="S337" s="112"/>
      <c r="T337" s="112"/>
      <c r="U337" s="112"/>
      <c r="V337" s="112"/>
      <c r="W337" s="112"/>
      <c r="X337" s="112"/>
      <c r="Y337" s="147"/>
      <c r="Z337" s="279"/>
      <c r="AC337" s="285"/>
      <c r="AD337" s="285"/>
      <c r="AE337" s="285"/>
      <c r="AF337" s="285"/>
      <c r="AG337" s="285"/>
      <c r="AH337" s="285"/>
      <c r="AI337" s="285"/>
      <c r="AJ337" s="285"/>
      <c r="AK337" s="285"/>
    </row>
    <row r="338" spans="1:37">
      <c r="A338" s="112"/>
      <c r="B338" s="112"/>
      <c r="C338" s="112"/>
      <c r="D338" s="112"/>
      <c r="E338" s="112"/>
      <c r="F338" s="112"/>
      <c r="G338" s="112"/>
      <c r="H338" s="112"/>
      <c r="I338" s="112"/>
      <c r="J338" s="112"/>
      <c r="K338" s="112"/>
      <c r="L338" s="112"/>
      <c r="M338" s="112"/>
      <c r="N338" s="112"/>
      <c r="O338" s="112"/>
      <c r="P338" s="112"/>
      <c r="Q338" s="112"/>
      <c r="R338" s="112"/>
      <c r="S338" s="112"/>
      <c r="T338" s="112"/>
      <c r="U338" s="112"/>
      <c r="V338" s="112"/>
      <c r="W338" s="112"/>
      <c r="X338" s="112"/>
      <c r="Y338" s="147"/>
      <c r="Z338" s="279"/>
      <c r="AC338" s="285"/>
      <c r="AD338" s="285"/>
      <c r="AE338" s="285"/>
      <c r="AF338" s="285"/>
      <c r="AG338" s="285"/>
      <c r="AH338" s="285"/>
      <c r="AI338" s="285"/>
      <c r="AJ338" s="285"/>
      <c r="AK338" s="285"/>
    </row>
    <row r="339" spans="1:37">
      <c r="A339" s="112"/>
      <c r="B339" s="112"/>
      <c r="C339" s="112"/>
      <c r="D339" s="112"/>
      <c r="E339" s="112"/>
      <c r="F339" s="112"/>
      <c r="G339" s="112"/>
      <c r="H339" s="112"/>
      <c r="I339" s="112"/>
      <c r="J339" s="112"/>
      <c r="K339" s="112"/>
      <c r="L339" s="112"/>
      <c r="M339" s="112"/>
      <c r="N339" s="112"/>
      <c r="O339" s="112"/>
      <c r="P339" s="112"/>
      <c r="Q339" s="112"/>
      <c r="R339" s="112"/>
      <c r="S339" s="112"/>
      <c r="T339" s="112"/>
      <c r="U339" s="112"/>
      <c r="V339" s="112"/>
      <c r="W339" s="112"/>
      <c r="X339" s="112"/>
      <c r="Y339" s="147"/>
      <c r="Z339" s="279"/>
      <c r="AC339" s="285"/>
      <c r="AD339" s="285"/>
      <c r="AE339" s="285"/>
      <c r="AF339" s="285"/>
      <c r="AG339" s="285"/>
      <c r="AH339" s="285"/>
      <c r="AI339" s="285"/>
      <c r="AJ339" s="285"/>
      <c r="AK339" s="285"/>
    </row>
    <row r="340" spans="1:37">
      <c r="A340" s="112"/>
      <c r="B340" s="112"/>
      <c r="C340" s="112"/>
      <c r="D340" s="112"/>
      <c r="E340" s="112"/>
      <c r="F340" s="112"/>
      <c r="G340" s="112"/>
      <c r="H340" s="112"/>
      <c r="I340" s="112"/>
      <c r="J340" s="112"/>
      <c r="K340" s="112"/>
      <c r="L340" s="112"/>
      <c r="M340" s="112"/>
      <c r="N340" s="112"/>
      <c r="O340" s="112"/>
      <c r="P340" s="112"/>
      <c r="Q340" s="112"/>
      <c r="R340" s="112"/>
      <c r="S340" s="112"/>
      <c r="T340" s="112"/>
      <c r="U340" s="112"/>
      <c r="V340" s="112"/>
      <c r="W340" s="112"/>
      <c r="X340" s="112"/>
      <c r="Y340" s="147"/>
      <c r="Z340" s="279"/>
      <c r="AC340" s="285"/>
      <c r="AD340" s="285"/>
      <c r="AE340" s="285"/>
      <c r="AF340" s="285"/>
      <c r="AG340" s="285"/>
      <c r="AH340" s="285"/>
      <c r="AI340" s="285"/>
      <c r="AJ340" s="285"/>
      <c r="AK340" s="285"/>
    </row>
    <row r="341" spans="1:37">
      <c r="A341" s="93" t="s">
        <v>440</v>
      </c>
      <c r="B341" s="44"/>
      <c r="C341" s="112"/>
      <c r="D341" s="112"/>
      <c r="E341" s="112"/>
      <c r="F341" s="112"/>
      <c r="G341" s="112"/>
      <c r="H341" s="112"/>
      <c r="I341" s="112"/>
      <c r="J341" s="112"/>
      <c r="K341" s="112"/>
      <c r="L341" s="112"/>
      <c r="M341" s="112"/>
      <c r="N341" s="112"/>
      <c r="O341" s="112"/>
      <c r="P341" s="112"/>
      <c r="Q341" s="112"/>
      <c r="R341" s="112"/>
      <c r="S341" s="112"/>
      <c r="T341" s="112"/>
      <c r="U341" s="112"/>
      <c r="V341" s="112"/>
      <c r="W341" s="112"/>
      <c r="X341" s="112"/>
      <c r="Y341" s="147"/>
      <c r="Z341" s="279"/>
      <c r="AA341" s="282" t="e">
        <f>MIN(AB366,AB373)</f>
        <v>#N/A</v>
      </c>
      <c r="AB341" s="282" t="e">
        <f>MIN(AE358:AE359)</f>
        <v>#N/A</v>
      </c>
      <c r="AC341" s="283" t="e">
        <f>IF(SUM(AC358:AC359)=0,"OK","NG")</f>
        <v>#N/A</v>
      </c>
      <c r="AD341" s="284" t="str">
        <f>A341</f>
        <v>8: Gusset Plate Global Shear Yielding and Fracturing Requirement (Shear Only)</v>
      </c>
      <c r="AE341" s="285"/>
      <c r="AF341" s="285"/>
      <c r="AG341" s="285"/>
      <c r="AH341" s="285"/>
      <c r="AI341" s="285"/>
      <c r="AJ341" s="285"/>
      <c r="AK341" s="285"/>
    </row>
    <row r="342" spans="1:37">
      <c r="A342" s="100"/>
      <c r="B342" s="112"/>
      <c r="C342" s="112"/>
      <c r="D342" s="112"/>
      <c r="E342" s="112"/>
      <c r="F342" s="112"/>
      <c r="G342" s="112"/>
      <c r="H342" s="112"/>
      <c r="I342" s="112"/>
      <c r="J342" s="112"/>
      <c r="K342" s="112"/>
      <c r="L342" s="112"/>
      <c r="M342" s="112"/>
      <c r="N342" s="112"/>
      <c r="O342" s="112"/>
      <c r="P342" s="112"/>
      <c r="Q342" s="112"/>
      <c r="R342" s="112"/>
      <c r="S342" s="112"/>
      <c r="T342" s="112"/>
      <c r="U342" s="112"/>
      <c r="V342" s="112"/>
      <c r="W342" s="112"/>
      <c r="X342" s="112"/>
      <c r="Y342" s="147"/>
      <c r="Z342" s="279"/>
      <c r="AC342" s="285"/>
      <c r="AD342" s="286"/>
      <c r="AE342" s="287"/>
      <c r="AF342" s="286"/>
      <c r="AG342" s="285"/>
      <c r="AH342" s="285"/>
      <c r="AI342" s="285"/>
      <c r="AJ342" s="285"/>
      <c r="AK342" s="285"/>
    </row>
    <row r="343" spans="1:37">
      <c r="A343" s="112" t="s">
        <v>95</v>
      </c>
      <c r="B343" s="44">
        <f>$E$35/1000</f>
        <v>0</v>
      </c>
      <c r="C343" s="100" t="s">
        <v>77</v>
      </c>
      <c r="D343" s="112"/>
      <c r="E343" s="112"/>
      <c r="F343" s="112"/>
      <c r="G343" s="112"/>
      <c r="H343" s="112"/>
      <c r="I343" s="112"/>
      <c r="J343" s="112"/>
      <c r="K343" s="112"/>
      <c r="L343" s="112"/>
      <c r="M343" s="112"/>
      <c r="N343" s="112"/>
      <c r="O343" s="112"/>
      <c r="P343" s="112"/>
      <c r="Q343" s="112"/>
      <c r="R343" s="112"/>
      <c r="S343" s="112"/>
      <c r="T343" s="112"/>
      <c r="U343" s="112"/>
      <c r="V343" s="112"/>
      <c r="W343" s="112"/>
      <c r="X343" s="112"/>
      <c r="Y343" s="147"/>
      <c r="Z343" s="279"/>
      <c r="AC343" s="285"/>
      <c r="AD343" s="286"/>
      <c r="AE343" s="287"/>
      <c r="AF343" s="286"/>
      <c r="AG343" s="285"/>
      <c r="AH343" s="285"/>
      <c r="AI343" s="285"/>
      <c r="AJ343" s="285"/>
      <c r="AK343" s="285"/>
    </row>
    <row r="344" spans="1:37">
      <c r="A344" s="112" t="s">
        <v>96</v>
      </c>
      <c r="B344" s="44">
        <f>$F$35/1000</f>
        <v>0</v>
      </c>
      <c r="C344" s="100" t="s">
        <v>362</v>
      </c>
      <c r="D344" s="112"/>
      <c r="E344" s="112"/>
      <c r="F344" s="112"/>
      <c r="G344" s="112"/>
      <c r="H344" s="112"/>
      <c r="I344" s="112"/>
      <c r="J344" s="112"/>
      <c r="K344" s="112"/>
      <c r="L344" s="112"/>
      <c r="M344" s="112"/>
      <c r="N344" s="112"/>
      <c r="O344" s="112"/>
      <c r="P344" s="112"/>
      <c r="Q344" s="112"/>
      <c r="R344" s="112"/>
      <c r="S344" s="112"/>
      <c r="T344" s="112"/>
      <c r="U344" s="112"/>
      <c r="V344" s="112"/>
      <c r="W344" s="112"/>
      <c r="X344" s="112"/>
      <c r="Y344" s="147"/>
      <c r="Z344" s="279"/>
      <c r="AC344" s="285"/>
      <c r="AD344" s="286"/>
      <c r="AE344" s="287"/>
      <c r="AF344" s="286"/>
      <c r="AG344" s="285"/>
      <c r="AH344" s="285"/>
      <c r="AI344" s="285"/>
      <c r="AJ344" s="285"/>
      <c r="AK344" s="285"/>
    </row>
    <row r="345" spans="1:37">
      <c r="A345" s="102"/>
      <c r="B345" s="44"/>
      <c r="C345" s="101"/>
      <c r="D345" s="112"/>
      <c r="E345" s="112"/>
      <c r="F345" s="112"/>
      <c r="G345" s="112"/>
      <c r="H345" s="112"/>
      <c r="I345" s="112"/>
      <c r="J345" s="112"/>
      <c r="K345" s="112"/>
      <c r="L345" s="112"/>
      <c r="M345" s="112"/>
      <c r="N345" s="112"/>
      <c r="O345" s="112"/>
      <c r="P345" s="112"/>
      <c r="Q345" s="112"/>
      <c r="R345" s="112"/>
      <c r="S345" s="112"/>
      <c r="T345" s="112"/>
      <c r="U345" s="112"/>
      <c r="V345" s="112"/>
      <c r="W345" s="112"/>
      <c r="X345" s="112"/>
      <c r="Y345" s="149"/>
      <c r="AC345" s="285"/>
      <c r="AD345" s="286"/>
      <c r="AE345" s="287"/>
      <c r="AF345" s="286"/>
      <c r="AG345" s="285"/>
      <c r="AH345" s="285"/>
      <c r="AI345" s="285"/>
      <c r="AJ345" s="285"/>
      <c r="AK345" s="285"/>
    </row>
    <row r="346" spans="1:37">
      <c r="A346" s="102" t="s">
        <v>430</v>
      </c>
      <c r="B346" s="59" t="e">
        <f>IF(LEFT($B$41,1)="L",1,-1)</f>
        <v>#N/A</v>
      </c>
      <c r="C346" s="101" t="e">
        <f>IF(LEFT($B$41,1)="L","For Lower Chord","For Upper Chord")</f>
        <v>#N/A</v>
      </c>
      <c r="D346" s="112"/>
      <c r="E346" s="112"/>
      <c r="F346" s="100"/>
      <c r="G346" s="112"/>
      <c r="H346" s="112"/>
      <c r="I346" s="112"/>
      <c r="J346" s="112"/>
      <c r="K346" s="112"/>
      <c r="L346" s="112"/>
      <c r="M346" s="112"/>
      <c r="N346" s="112"/>
      <c r="O346" s="112"/>
      <c r="P346" s="112"/>
      <c r="Q346" s="112"/>
      <c r="R346" s="112"/>
      <c r="S346" s="112"/>
      <c r="T346" s="112"/>
      <c r="U346" s="112"/>
      <c r="V346" s="112"/>
      <c r="W346" s="112"/>
      <c r="X346" s="112"/>
      <c r="Y346" s="149"/>
      <c r="AC346" s="285"/>
      <c r="AD346" s="286"/>
      <c r="AE346" s="287"/>
      <c r="AF346" s="286"/>
      <c r="AG346" s="285"/>
      <c r="AH346" s="285"/>
      <c r="AI346" s="285"/>
      <c r="AJ346" s="285"/>
      <c r="AK346" s="285"/>
    </row>
    <row r="347" spans="1:37">
      <c r="A347" s="101"/>
      <c r="B347" s="44"/>
      <c r="C347" s="112"/>
      <c r="D347" s="112"/>
      <c r="E347" s="112"/>
      <c r="F347" s="100"/>
      <c r="G347" s="112"/>
      <c r="H347" s="112"/>
      <c r="I347" s="112"/>
      <c r="J347" s="112"/>
      <c r="K347" s="112"/>
      <c r="L347" s="112"/>
      <c r="M347" s="112"/>
      <c r="N347" s="112"/>
      <c r="O347" s="112"/>
      <c r="P347" s="112"/>
      <c r="Q347" s="112"/>
      <c r="R347" s="112"/>
      <c r="S347" s="112"/>
      <c r="T347" s="112"/>
      <c r="U347" s="112"/>
      <c r="V347" s="112"/>
      <c r="W347" s="112"/>
      <c r="X347" s="112"/>
      <c r="Y347" s="149"/>
      <c r="AC347" s="285"/>
      <c r="AD347" s="286"/>
      <c r="AE347" s="287"/>
      <c r="AF347" s="286"/>
      <c r="AG347" s="285"/>
      <c r="AH347" s="285"/>
      <c r="AI347" s="285"/>
      <c r="AJ347" s="285"/>
      <c r="AK347" s="285"/>
    </row>
    <row r="348" spans="1:37">
      <c r="A348" s="101" t="s">
        <v>431</v>
      </c>
      <c r="B348" s="44"/>
      <c r="C348" s="112"/>
      <c r="D348" s="112"/>
      <c r="E348" s="112"/>
      <c r="F348" s="112"/>
      <c r="G348" s="112"/>
      <c r="H348" s="112"/>
      <c r="I348" s="112"/>
      <c r="J348" s="112"/>
      <c r="K348" s="112"/>
      <c r="L348" s="112"/>
      <c r="M348" s="112"/>
      <c r="N348" s="112"/>
      <c r="O348" s="112"/>
      <c r="P348" s="112"/>
      <c r="Q348" s="112"/>
      <c r="R348" s="112"/>
      <c r="S348" s="112"/>
      <c r="T348" s="112"/>
      <c r="U348" s="112"/>
      <c r="V348" s="112"/>
      <c r="W348" s="112"/>
      <c r="X348" s="112"/>
      <c r="Y348" s="149"/>
      <c r="AC348" s="285"/>
      <c r="AD348" s="286"/>
      <c r="AE348" s="287"/>
      <c r="AF348" s="286"/>
      <c r="AG348" s="285"/>
      <c r="AH348" s="285"/>
      <c r="AI348" s="285"/>
      <c r="AJ348" s="285"/>
      <c r="AK348" s="285"/>
    </row>
    <row r="349" spans="1:37">
      <c r="A349" s="112"/>
      <c r="B349" s="112"/>
      <c r="C349" s="112"/>
      <c r="D349" s="112"/>
      <c r="E349" s="112"/>
      <c r="F349" s="112"/>
      <c r="G349" s="112"/>
      <c r="H349" s="406" t="s">
        <v>400</v>
      </c>
      <c r="I349" s="406"/>
      <c r="J349" s="406"/>
      <c r="K349" s="406"/>
      <c r="L349" s="433" t="s">
        <v>401</v>
      </c>
      <c r="M349" s="434"/>
      <c r="N349" s="434"/>
      <c r="O349" s="435"/>
      <c r="P349" s="406" t="s">
        <v>402</v>
      </c>
      <c r="Q349" s="406"/>
      <c r="R349" s="406"/>
      <c r="S349" s="406"/>
      <c r="T349" s="112"/>
      <c r="U349" s="112"/>
      <c r="V349" s="112"/>
      <c r="W349" s="112"/>
      <c r="X349" s="112"/>
      <c r="Y349" s="149"/>
      <c r="AC349" s="285"/>
      <c r="AD349" s="286"/>
      <c r="AE349" s="287"/>
      <c r="AF349" s="286"/>
      <c r="AG349" s="285"/>
      <c r="AH349" s="285"/>
      <c r="AI349" s="285"/>
      <c r="AJ349" s="285"/>
      <c r="AK349" s="285"/>
    </row>
    <row r="350" spans="1:37" ht="74.25" customHeight="1">
      <c r="A350" s="5" t="s">
        <v>23</v>
      </c>
      <c r="B350" s="5" t="s">
        <v>25</v>
      </c>
      <c r="C350" s="48" t="s">
        <v>4</v>
      </c>
      <c r="D350" s="5" t="s">
        <v>64</v>
      </c>
      <c r="E350" s="80" t="s">
        <v>432</v>
      </c>
      <c r="F350" s="80" t="s">
        <v>433</v>
      </c>
      <c r="G350" s="2" t="s">
        <v>118</v>
      </c>
      <c r="H350" s="12" t="s">
        <v>352</v>
      </c>
      <c r="I350" s="12" t="s">
        <v>351</v>
      </c>
      <c r="J350" s="12" t="s">
        <v>350</v>
      </c>
      <c r="K350" s="12" t="s">
        <v>353</v>
      </c>
      <c r="L350" s="190" t="s">
        <v>354</v>
      </c>
      <c r="M350" s="190" t="s">
        <v>355</v>
      </c>
      <c r="N350" s="190" t="s">
        <v>356</v>
      </c>
      <c r="O350" s="190" t="s">
        <v>357</v>
      </c>
      <c r="P350" s="12" t="s">
        <v>149</v>
      </c>
      <c r="Q350" s="12" t="s">
        <v>151</v>
      </c>
      <c r="R350" s="12" t="s">
        <v>150</v>
      </c>
      <c r="S350" s="12" t="s">
        <v>152</v>
      </c>
      <c r="T350" s="112"/>
      <c r="U350" s="112"/>
      <c r="V350" s="112"/>
      <c r="W350" s="112"/>
      <c r="X350" s="112"/>
      <c r="Y350" s="149"/>
      <c r="AC350" s="285"/>
      <c r="AD350" s="286"/>
      <c r="AE350" s="287"/>
      <c r="AF350" s="286"/>
      <c r="AG350" s="285"/>
      <c r="AH350" s="285"/>
      <c r="AI350" s="285"/>
      <c r="AJ350" s="285"/>
      <c r="AK350" s="285"/>
    </row>
    <row r="351" spans="1:37">
      <c r="A351" s="151" t="str">
        <f>$A$83</f>
        <v>Diagonal (LT)</v>
      </c>
      <c r="B351" s="114" t="e">
        <f>$B$83</f>
        <v>#N/A</v>
      </c>
      <c r="C351" s="17" t="e">
        <f>$C$83</f>
        <v>#N/A</v>
      </c>
      <c r="D351" s="23" t="e">
        <f>$J$59</f>
        <v>#N/A</v>
      </c>
      <c r="E351" s="81" t="e">
        <f>(IF(D351="Tension",-1,1))</f>
        <v>#N/A</v>
      </c>
      <c r="F351" s="81" t="e">
        <f>(IF(D351="Tension",1,-1))*B346</f>
        <v>#N/A</v>
      </c>
      <c r="G351" s="23" t="e">
        <f>IF(D351="N/A","N/A",IF(G59="N/A",ABS(H59),IF(H59="N/A",ABS(G59),MAX(ABS(G59),ABS(H59)))))</f>
        <v>#N/A</v>
      </c>
      <c r="H351" s="23" t="e">
        <f>IF($F$71&lt;=0,ABS($F$71),0)</f>
        <v>#N/A</v>
      </c>
      <c r="I351" s="23" t="e">
        <f>IF($G$71&lt;0,ABS($G$71),0)</f>
        <v>#N/A</v>
      </c>
      <c r="J351" s="23" t="e">
        <f>IF($F$71&gt;0,ABS($F$71),0)</f>
        <v>#N/A</v>
      </c>
      <c r="K351" s="23" t="e">
        <f>IF($G$71&gt;0,ABS($G$71),0)</f>
        <v>#N/A</v>
      </c>
      <c r="L351" s="23" t="e">
        <f t="shared" ref="L351:O352" si="14">ABS(H71)</f>
        <v>#N/A</v>
      </c>
      <c r="M351" s="23" t="e">
        <f t="shared" si="14"/>
        <v>#N/A</v>
      </c>
      <c r="N351" s="23" t="e">
        <f t="shared" si="14"/>
        <v>#N/A</v>
      </c>
      <c r="O351" s="23" t="e">
        <f t="shared" si="14"/>
        <v>#N/A</v>
      </c>
      <c r="P351" s="23" t="e">
        <f>ABS($L$71)</f>
        <v>#N/A</v>
      </c>
      <c r="Q351" s="23" t="e">
        <f>ABS($M$71)</f>
        <v>#N/A</v>
      </c>
      <c r="R351" s="230" t="e">
        <f>ABS($N$71)</f>
        <v>#N/A</v>
      </c>
      <c r="S351" s="23" t="e">
        <f>ABS($O$71)</f>
        <v>#N/A</v>
      </c>
      <c r="T351" s="112"/>
      <c r="U351" s="112"/>
      <c r="V351" s="112"/>
      <c r="W351" s="112"/>
      <c r="X351" s="112"/>
      <c r="Y351" s="149"/>
      <c r="AC351" s="285"/>
      <c r="AD351" s="286"/>
      <c r="AE351" s="287"/>
      <c r="AF351" s="286"/>
      <c r="AG351" s="285"/>
      <c r="AH351" s="285"/>
      <c r="AI351" s="285"/>
      <c r="AJ351" s="285"/>
      <c r="AK351" s="285"/>
    </row>
    <row r="352" spans="1:37">
      <c r="A352" s="151" t="str">
        <f>$A$84</f>
        <v>Diagonal (RT)</v>
      </c>
      <c r="B352" s="114" t="e">
        <f>$B$84</f>
        <v>#N/A</v>
      </c>
      <c r="C352" s="17" t="e">
        <f>$C$84</f>
        <v>#N/A</v>
      </c>
      <c r="D352" s="23" t="e">
        <f>$J$60</f>
        <v>#N/A</v>
      </c>
      <c r="E352" s="81" t="e">
        <f>(IF(D352="Tension",1,-1))</f>
        <v>#N/A</v>
      </c>
      <c r="F352" s="81" t="e">
        <f>(IF(D352="Tension",1,-1))*B346</f>
        <v>#N/A</v>
      </c>
      <c r="G352" s="23" t="e">
        <f>IF(D352="N/A","N/A",IF(G60="N/A",ABS(H60),IF(H60="N/A",ABS(G60),MAX(ABS(G60),ABS(H60)))))</f>
        <v>#N/A</v>
      </c>
      <c r="H352" s="23" t="e">
        <f>IF($F$72&lt;=0,ABS($F$72),0)</f>
        <v>#N/A</v>
      </c>
      <c r="I352" s="23" t="e">
        <f>IF($G$72&lt;0,ABS($G$72),0)</f>
        <v>#N/A</v>
      </c>
      <c r="J352" s="23" t="e">
        <f>IF($F$72&gt;0,ABS($F$72),0)</f>
        <v>#N/A</v>
      </c>
      <c r="K352" s="23" t="e">
        <f>IF($G$72&gt;0,ABS($G$72),0)</f>
        <v>#N/A</v>
      </c>
      <c r="L352" s="23" t="e">
        <f t="shared" si="14"/>
        <v>#N/A</v>
      </c>
      <c r="M352" s="23" t="e">
        <f t="shared" si="14"/>
        <v>#N/A</v>
      </c>
      <c r="N352" s="23" t="e">
        <f t="shared" si="14"/>
        <v>#N/A</v>
      </c>
      <c r="O352" s="23" t="e">
        <f t="shared" si="14"/>
        <v>#N/A</v>
      </c>
      <c r="P352" s="230" t="e">
        <f>ABS($L$72)</f>
        <v>#N/A</v>
      </c>
      <c r="Q352" s="23" t="e">
        <f>ABS($M$72)</f>
        <v>#N/A</v>
      </c>
      <c r="R352" s="23" t="e">
        <f>ABS($N$72)</f>
        <v>#N/A</v>
      </c>
      <c r="S352" s="23" t="e">
        <f>ABS($O$72)</f>
        <v>#N/A</v>
      </c>
      <c r="T352" s="112"/>
      <c r="U352" s="112"/>
      <c r="V352" s="112"/>
      <c r="W352" s="112"/>
      <c r="X352" s="112"/>
      <c r="Y352" s="149"/>
      <c r="AC352" s="285"/>
      <c r="AD352" s="286"/>
      <c r="AE352" s="287"/>
      <c r="AF352" s="286"/>
      <c r="AG352" s="285"/>
      <c r="AH352" s="285"/>
      <c r="AI352" s="285"/>
      <c r="AJ352" s="285"/>
      <c r="AK352" s="285"/>
    </row>
    <row r="353" spans="1:37">
      <c r="A353" s="100" t="s">
        <v>398</v>
      </c>
      <c r="B353" s="112"/>
      <c r="C353" s="112"/>
      <c r="D353" s="112"/>
      <c r="E353" s="112"/>
      <c r="F353" s="112"/>
      <c r="G353" s="191" t="s">
        <v>399</v>
      </c>
      <c r="H353" s="234" t="e">
        <f>($E$351*H351)+($E$352*H352)</f>
        <v>#N/A</v>
      </c>
      <c r="I353" s="234" t="e">
        <f>($F$351*I351)+($F$352*I352)</f>
        <v>#N/A</v>
      </c>
      <c r="J353" s="234" t="e">
        <f>($E$351*J351)+($E$352*J352)</f>
        <v>#N/A</v>
      </c>
      <c r="K353" s="234" t="e">
        <f>($F$351*K351)+($F$352*K352)</f>
        <v>#N/A</v>
      </c>
      <c r="L353" s="234" t="e">
        <f>($E$351*L351)+($E$352*L352)</f>
        <v>#N/A</v>
      </c>
      <c r="M353" s="234" t="e">
        <f>($F$351*M351)+($F$352*M352)</f>
        <v>#N/A</v>
      </c>
      <c r="N353" s="234" t="e">
        <f>($E$351*N351)+($E$352*N352)</f>
        <v>#N/A</v>
      </c>
      <c r="O353" s="234" t="e">
        <f>($F$351*O351)+($F$352*O352)</f>
        <v>#N/A</v>
      </c>
      <c r="P353" s="234" t="e">
        <f>($E$351*P351)+($E$352*P352)</f>
        <v>#N/A</v>
      </c>
      <c r="Q353" s="234" t="e">
        <f>($F$351*Q351)+($F$352*Q352)</f>
        <v>#N/A</v>
      </c>
      <c r="R353" s="234" t="e">
        <f>($E$351*R351)+($E$352*R352)</f>
        <v>#N/A</v>
      </c>
      <c r="S353" s="234" t="e">
        <f>($F$351*S351)+($F$352*S352)</f>
        <v>#N/A</v>
      </c>
      <c r="T353" s="112"/>
      <c r="U353" s="112"/>
      <c r="V353" s="112"/>
      <c r="W353" s="112"/>
      <c r="X353" s="112"/>
      <c r="Y353" s="149"/>
      <c r="AC353" s="285"/>
      <c r="AD353" s="286"/>
      <c r="AE353" s="287"/>
      <c r="AF353" s="286"/>
      <c r="AG353" s="285"/>
      <c r="AH353" s="285"/>
      <c r="AI353" s="285"/>
      <c r="AJ353" s="285"/>
      <c r="AK353" s="285"/>
    </row>
    <row r="354" spans="1:37">
      <c r="A354" s="112"/>
      <c r="B354" s="112"/>
      <c r="C354" s="112"/>
      <c r="D354" s="112"/>
      <c r="E354" s="112"/>
      <c r="F354" s="112"/>
      <c r="G354" s="100"/>
      <c r="H354" s="112"/>
      <c r="I354" s="112"/>
      <c r="J354" s="112"/>
      <c r="K354" s="112"/>
      <c r="L354" s="112"/>
      <c r="M354" s="112"/>
      <c r="N354" s="112"/>
      <c r="O354" s="112"/>
      <c r="P354" s="112"/>
      <c r="Q354" s="112"/>
      <c r="R354" s="112"/>
      <c r="S354" s="112"/>
      <c r="T354" s="112"/>
      <c r="U354" s="112"/>
      <c r="V354" s="112"/>
      <c r="W354" s="112"/>
      <c r="X354" s="112"/>
      <c r="Y354" s="149"/>
      <c r="AC354" s="285"/>
      <c r="AD354" s="286"/>
      <c r="AE354" s="287"/>
      <c r="AF354" s="286"/>
      <c r="AG354" s="285"/>
      <c r="AH354" s="285"/>
      <c r="AI354" s="285"/>
      <c r="AJ354" s="285"/>
      <c r="AK354" s="285"/>
    </row>
    <row r="355" spans="1:37">
      <c r="A355" s="42"/>
      <c r="B355" s="42"/>
      <c r="C355" s="112"/>
      <c r="D355" s="112"/>
      <c r="E355" s="59"/>
      <c r="F355" s="112"/>
      <c r="G355" s="112"/>
      <c r="H355" s="112"/>
      <c r="I355" s="112"/>
      <c r="J355" s="112"/>
      <c r="K355" s="112"/>
      <c r="L355" s="112"/>
      <c r="M355" s="112"/>
      <c r="N355" s="112"/>
      <c r="O355" s="112"/>
      <c r="P355" s="112"/>
      <c r="Q355" s="112"/>
      <c r="R355" s="112"/>
      <c r="S355" s="112"/>
      <c r="T355" s="112"/>
      <c r="U355" s="112"/>
      <c r="V355" s="112"/>
      <c r="W355" s="112"/>
      <c r="X355" s="112"/>
      <c r="Y355" s="149"/>
      <c r="AC355" s="285"/>
      <c r="AD355" s="286"/>
      <c r="AE355" s="287"/>
      <c r="AF355" s="286"/>
      <c r="AG355" s="285"/>
      <c r="AH355" s="285"/>
      <c r="AI355" s="285"/>
      <c r="AJ355" s="285"/>
      <c r="AK355" s="285"/>
    </row>
    <row r="356" spans="1:37">
      <c r="A356" s="112"/>
      <c r="B356" s="112"/>
      <c r="C356" s="112"/>
      <c r="D356" s="112"/>
      <c r="E356" s="112"/>
      <c r="F356" s="112"/>
      <c r="G356" s="112"/>
      <c r="H356" s="112"/>
      <c r="I356" s="112"/>
      <c r="J356" s="112"/>
      <c r="K356" s="112"/>
      <c r="L356" s="112"/>
      <c r="M356" s="112"/>
      <c r="N356" s="112"/>
      <c r="O356" s="112"/>
      <c r="P356" s="112"/>
      <c r="Q356" s="112"/>
      <c r="R356" s="112"/>
      <c r="S356" s="112"/>
      <c r="T356" s="112"/>
      <c r="U356" s="112"/>
      <c r="V356" s="112"/>
      <c r="W356" s="112"/>
      <c r="X356" s="112"/>
      <c r="Y356" s="149"/>
      <c r="AC356" s="285"/>
      <c r="AD356" s="286"/>
      <c r="AE356" s="287"/>
      <c r="AF356" s="286"/>
      <c r="AG356" s="285"/>
      <c r="AH356" s="285"/>
      <c r="AI356" s="285"/>
      <c r="AJ356" s="285"/>
      <c r="AK356" s="285"/>
    </row>
    <row r="357" spans="1:37" ht="51">
      <c r="A357" s="109" t="s">
        <v>158</v>
      </c>
      <c r="B357" s="71" t="s">
        <v>155</v>
      </c>
      <c r="C357" s="72" t="s">
        <v>159</v>
      </c>
      <c r="D357" s="72" t="s">
        <v>160</v>
      </c>
      <c r="E357" s="73" t="s">
        <v>161</v>
      </c>
      <c r="F357" s="73" t="s">
        <v>162</v>
      </c>
      <c r="G357" s="109" t="s">
        <v>185</v>
      </c>
      <c r="H357" s="109" t="s">
        <v>186</v>
      </c>
      <c r="I357" s="74" t="s">
        <v>170</v>
      </c>
      <c r="J357" s="74" t="s">
        <v>163</v>
      </c>
      <c r="K357" s="74" t="s">
        <v>164</v>
      </c>
      <c r="L357" s="68" t="s">
        <v>171</v>
      </c>
      <c r="M357" s="68" t="s">
        <v>165</v>
      </c>
      <c r="N357" s="68" t="s">
        <v>166</v>
      </c>
      <c r="O357" s="50" t="s">
        <v>183</v>
      </c>
      <c r="P357" s="50" t="s">
        <v>169</v>
      </c>
      <c r="Q357" s="5" t="s">
        <v>167</v>
      </c>
      <c r="R357" s="5" t="s">
        <v>168</v>
      </c>
      <c r="S357" s="49" t="s">
        <v>172</v>
      </c>
      <c r="T357" s="112"/>
      <c r="U357" s="112"/>
      <c r="V357" s="112"/>
      <c r="W357" s="112"/>
      <c r="X357" s="112"/>
      <c r="Y357" s="149"/>
      <c r="AC357" s="285"/>
      <c r="AD357" s="286"/>
      <c r="AE357" s="287"/>
      <c r="AF357" s="286"/>
      <c r="AG357" s="285"/>
      <c r="AH357" s="285"/>
      <c r="AI357" s="285"/>
      <c r="AJ357" s="285"/>
      <c r="AK357" s="285"/>
    </row>
    <row r="358" spans="1:37" ht="71.25" customHeight="1">
      <c r="A358" s="109" t="s">
        <v>156</v>
      </c>
      <c r="B358" s="25" t="e">
        <f>$E$81</f>
        <v>#N/A</v>
      </c>
      <c r="C358" s="75" t="e">
        <f>LOOKUP($C$41,'Info Tables'!A19:A58,'Info Tables'!F19:F58)</f>
        <v>#N/A</v>
      </c>
      <c r="D358" s="75" t="e">
        <f>LOOKUP($C$41,'Info Tables'!A19:A58,'Info Tables'!H19:H58)</f>
        <v>#N/A</v>
      </c>
      <c r="E358" s="76" t="e">
        <f>LOOKUP($C$41,'Info Tables'!A19:A58,'Info Tables'!G19:G58)</f>
        <v>#N/A</v>
      </c>
      <c r="F358" s="76" t="e">
        <f>LOOKUP($C$41,'Info Tables'!A19:A58,'Info Tables'!I19:I58)</f>
        <v>#N/A</v>
      </c>
      <c r="G358" s="189" t="e">
        <f>ABS(P353+R353)/2</f>
        <v>#N/A</v>
      </c>
      <c r="H358" s="3" t="e">
        <f>ABS(Q353+S353)/2</f>
        <v>#N/A</v>
      </c>
      <c r="I358" s="75" t="e">
        <f>1.5*$G$358</f>
        <v>#N/A</v>
      </c>
      <c r="J358" s="75" t="e">
        <f>I358/(B358*C358)</f>
        <v>#N/A</v>
      </c>
      <c r="K358" s="75" t="e">
        <f>I358/(B358*D358)</f>
        <v>#N/A</v>
      </c>
      <c r="L358" s="69" t="e">
        <f>1.5*$H$358</f>
        <v>#N/A</v>
      </c>
      <c r="M358" s="76" t="e">
        <f>L358/(B358*F358)</f>
        <v>#N/A</v>
      </c>
      <c r="N358" s="76" t="e">
        <f>L358/(B358*F358)</f>
        <v>#N/A</v>
      </c>
      <c r="O358" s="77" t="e">
        <f>IF($G$358=0,"N/A",MIN(($B$343/$J$358),($B$344/$K$358)))</f>
        <v>#N/A</v>
      </c>
      <c r="P358" s="77" t="e">
        <f>IF($H$358=0,"N/A",MIN(($B$343/$M$358),($B$344/$N$358)))</f>
        <v>#N/A</v>
      </c>
      <c r="Q358" s="57" t="e">
        <f>IF($G$358=0,"N/A",IF(OR($J$358&gt;$B$343,$K$358&gt;$B$344),"NG","OK"))</f>
        <v>#N/A</v>
      </c>
      <c r="R358" s="57" t="e">
        <f>IF(OR($H$358=0,$H$358="N/A"),"N/A",IF(OR($M$358&gt;$B$343,$N$358&gt;$B$344),"NG","OK"))</f>
        <v>#N/A</v>
      </c>
      <c r="S358" s="61" t="e">
        <f>IF(AND(O358="N/A",P358="N/A"),"N/A",MIN((O358,P358)))</f>
        <v>#N/A</v>
      </c>
      <c r="T358" s="112"/>
      <c r="U358" s="112"/>
      <c r="V358" s="112"/>
      <c r="W358" s="112"/>
      <c r="X358" s="112"/>
      <c r="Y358" s="149"/>
      <c r="AB358" s="280" t="e">
        <f>IF(OR(AD358="N/A",AE358="N/A"),0,1)</f>
        <v>#N/A</v>
      </c>
      <c r="AC358" s="285" t="e">
        <f>IF(OR(AD358="NG",AE358="NG",AF358="NG",AG358="NG",AH358="NG"),1,0)</f>
        <v>#N/A</v>
      </c>
      <c r="AD358" s="287" t="e">
        <f>IF(OR(Q358="NG",R358="NG"),"NG",IF(Q358="N/A",R358,IF(R358="N/A",Q358,"OK")))</f>
        <v>#N/A</v>
      </c>
      <c r="AE358" s="287" t="e">
        <f>S358</f>
        <v>#N/A</v>
      </c>
      <c r="AF358" s="286"/>
      <c r="AG358" s="285"/>
      <c r="AH358" s="285"/>
      <c r="AI358" s="285"/>
      <c r="AJ358" s="285"/>
      <c r="AK358" s="285"/>
    </row>
    <row r="359" spans="1:37">
      <c r="A359" s="109" t="s">
        <v>157</v>
      </c>
      <c r="B359" s="25" t="e">
        <f>$G$81</f>
        <v>#N/A</v>
      </c>
      <c r="C359" s="75" t="e">
        <f>C358</f>
        <v>#N/A</v>
      </c>
      <c r="D359" s="75" t="e">
        <f>D358</f>
        <v>#N/A</v>
      </c>
      <c r="E359" s="76" t="e">
        <f>E358</f>
        <v>#N/A</v>
      </c>
      <c r="F359" s="76" t="e">
        <f>F358</f>
        <v>#N/A</v>
      </c>
      <c r="G359" s="189" t="e">
        <f>ABS(P353+R353)/2</f>
        <v>#N/A</v>
      </c>
      <c r="H359" s="3" t="e">
        <f>ABS(Q353+S353)/2</f>
        <v>#N/A</v>
      </c>
      <c r="I359" s="75" t="e">
        <f>1.5*G359</f>
        <v>#N/A</v>
      </c>
      <c r="J359" s="75" t="e">
        <f>I359/(B359*C359)</f>
        <v>#N/A</v>
      </c>
      <c r="K359" s="75" t="e">
        <f>I359/(B359*D359)</f>
        <v>#N/A</v>
      </c>
      <c r="L359" s="69" t="e">
        <f>1.5*$H$358</f>
        <v>#N/A</v>
      </c>
      <c r="M359" s="76" t="e">
        <f>L359/(B359*F359)</f>
        <v>#N/A</v>
      </c>
      <c r="N359" s="76" t="e">
        <f>L359/(B359*F359)</f>
        <v>#N/A</v>
      </c>
      <c r="O359" s="77" t="e">
        <f>IF($G$359=0,"N/A",MIN(($B$343/$J$359),($B$344/$K$359)))</f>
        <v>#N/A</v>
      </c>
      <c r="P359" s="77" t="e">
        <f>IF($H$359=0,"N/A",MIN(($B$343/$M$359),($B$344/$N$359)))</f>
        <v>#N/A</v>
      </c>
      <c r="Q359" s="57" t="e">
        <f>IF($G$359=0,"N/A",IF(OR($J$359&gt;$B$343,$K$359&gt;$B$344),"NG","OK"))</f>
        <v>#N/A</v>
      </c>
      <c r="R359" s="57" t="e">
        <f>IF(OR($H$359=0,$H$359="N/A"),"N/A",IF(OR($M$359&gt;$B$343,$N$359&gt;$B$344),"NG","OK"))</f>
        <v>#N/A</v>
      </c>
      <c r="S359" s="61" t="e">
        <f>IF(AND(O359="N/A",P359="N/A"),"N/A",MIN((O359,P359)))</f>
        <v>#N/A</v>
      </c>
      <c r="T359" s="112"/>
      <c r="U359" s="112"/>
      <c r="V359" s="112"/>
      <c r="W359" s="112"/>
      <c r="X359" s="112"/>
      <c r="Y359" s="149"/>
      <c r="AB359" s="280" t="e">
        <f>IF(OR(AD359="N/A",AE359="N/A"),0,1)</f>
        <v>#N/A</v>
      </c>
      <c r="AC359" s="285" t="e">
        <f>IF(OR(AD359="NG",AE359="NG",AF359="NG",AG359="NG",AH359="NG"),1,0)</f>
        <v>#N/A</v>
      </c>
      <c r="AD359" s="287" t="e">
        <f>IF(OR(Q359="NG",R359="NG"),"NG",IF(Q359="N/A",R359,IF(R359="N/A",Q359,"OK")))</f>
        <v>#N/A</v>
      </c>
      <c r="AE359" s="287" t="e">
        <f>S359</f>
        <v>#N/A</v>
      </c>
      <c r="AF359" s="286"/>
      <c r="AG359" s="285"/>
      <c r="AH359" s="285"/>
      <c r="AI359" s="285"/>
      <c r="AJ359" s="285"/>
      <c r="AK359" s="285"/>
    </row>
    <row r="360" spans="1:37">
      <c r="A360" s="7"/>
      <c r="B360" s="231"/>
      <c r="C360" s="9"/>
      <c r="D360" s="9"/>
      <c r="E360" s="9"/>
      <c r="F360" s="9"/>
      <c r="G360" s="200"/>
      <c r="H360" s="84"/>
      <c r="I360" s="84"/>
      <c r="J360" s="84"/>
      <c r="K360" s="84"/>
      <c r="L360" s="84"/>
      <c r="M360" s="84"/>
      <c r="N360" s="84"/>
      <c r="O360" s="84"/>
      <c r="P360" s="84"/>
      <c r="Q360" s="85"/>
      <c r="R360" s="85"/>
      <c r="S360" s="112"/>
      <c r="T360" s="112"/>
      <c r="U360" s="112"/>
      <c r="V360" s="112"/>
      <c r="W360" s="112"/>
      <c r="X360" s="112"/>
      <c r="Y360" s="149"/>
      <c r="AC360" s="285"/>
      <c r="AD360" s="285"/>
      <c r="AE360" s="285"/>
      <c r="AF360" s="285"/>
      <c r="AG360" s="285"/>
      <c r="AH360" s="285"/>
      <c r="AI360" s="285"/>
      <c r="AJ360" s="285"/>
      <c r="AK360" s="285"/>
    </row>
    <row r="361" spans="1:37">
      <c r="A361" s="7"/>
      <c r="B361" s="231"/>
      <c r="C361" s="9"/>
      <c r="D361" s="9"/>
      <c r="E361" s="9"/>
      <c r="F361" s="9"/>
      <c r="G361" s="200"/>
      <c r="H361" s="84"/>
      <c r="I361" s="84"/>
      <c r="J361" s="84"/>
      <c r="K361" s="84"/>
      <c r="L361" s="84"/>
      <c r="M361" s="84"/>
      <c r="N361" s="84"/>
      <c r="O361" s="84"/>
      <c r="P361" s="84"/>
      <c r="Q361" s="85"/>
      <c r="R361" s="85"/>
      <c r="S361" s="112"/>
      <c r="T361" s="112"/>
      <c r="U361" s="112"/>
      <c r="V361" s="112"/>
      <c r="W361" s="112"/>
      <c r="X361" s="112"/>
      <c r="Y361" s="149"/>
      <c r="AC361" s="285"/>
      <c r="AD361" s="285"/>
      <c r="AE361" s="285"/>
      <c r="AF361" s="285"/>
      <c r="AG361" s="285"/>
      <c r="AH361" s="285"/>
      <c r="AI361" s="285"/>
      <c r="AJ361" s="285"/>
      <c r="AK361" s="285"/>
    </row>
    <row r="362" spans="1:37">
      <c r="A362" s="7"/>
      <c r="B362" s="7"/>
      <c r="C362" s="7"/>
      <c r="D362" s="7"/>
      <c r="E362" s="7"/>
      <c r="F362" s="7"/>
      <c r="G362" s="9"/>
      <c r="H362" s="9"/>
      <c r="I362" s="9"/>
      <c r="J362" s="9"/>
      <c r="K362" s="9"/>
      <c r="L362" s="112"/>
      <c r="M362" s="112"/>
      <c r="N362" s="112"/>
      <c r="O362" s="112"/>
      <c r="P362" s="112"/>
      <c r="Q362" s="112"/>
      <c r="R362" s="112"/>
      <c r="S362" s="112"/>
      <c r="T362" s="112"/>
      <c r="U362" s="112"/>
      <c r="V362" s="112"/>
      <c r="W362" s="112"/>
      <c r="X362" s="112"/>
      <c r="Y362" s="149"/>
      <c r="AC362" s="285"/>
      <c r="AD362" s="286"/>
      <c r="AE362" s="285"/>
      <c r="AF362" s="286"/>
      <c r="AG362" s="285"/>
      <c r="AH362" s="285"/>
      <c r="AI362" s="285"/>
      <c r="AJ362" s="285"/>
      <c r="AK362" s="285"/>
    </row>
    <row r="363" spans="1:37">
      <c r="A363" s="112"/>
      <c r="B363" s="9"/>
      <c r="C363" s="9"/>
      <c r="D363" s="9"/>
      <c r="E363" s="9"/>
      <c r="F363" s="9"/>
      <c r="G363" s="9"/>
      <c r="H363" s="9"/>
      <c r="I363" s="9"/>
      <c r="J363" s="9"/>
      <c r="K363" s="9"/>
      <c r="L363" s="112"/>
      <c r="M363" s="112"/>
      <c r="N363" s="112"/>
      <c r="O363" s="112"/>
      <c r="P363" s="112"/>
      <c r="Q363" s="112"/>
      <c r="R363" s="112"/>
      <c r="S363" s="112"/>
      <c r="T363" s="112"/>
      <c r="U363" s="112"/>
      <c r="V363" s="112"/>
      <c r="W363" s="112"/>
      <c r="X363" s="112"/>
      <c r="Y363" s="149"/>
      <c r="AC363" s="285"/>
      <c r="AD363" s="286"/>
      <c r="AE363" s="285"/>
      <c r="AF363" s="286"/>
      <c r="AG363" s="285"/>
      <c r="AH363" s="285"/>
      <c r="AI363" s="285"/>
      <c r="AJ363" s="285"/>
      <c r="AK363" s="285"/>
    </row>
    <row r="364" spans="1:37">
      <c r="A364" s="58" t="s">
        <v>428</v>
      </c>
      <c r="B364" s="9"/>
      <c r="C364" s="9"/>
      <c r="D364" s="9"/>
      <c r="E364" s="9"/>
      <c r="F364" s="9"/>
      <c r="G364" s="9"/>
      <c r="H364" s="9"/>
      <c r="I364" s="9"/>
      <c r="J364" s="9"/>
      <c r="K364" s="9"/>
      <c r="L364" s="112"/>
      <c r="M364" s="112"/>
      <c r="N364" s="112"/>
      <c r="O364" s="112"/>
      <c r="P364" s="112"/>
      <c r="Q364" s="112"/>
      <c r="R364" s="112"/>
      <c r="S364" s="112"/>
      <c r="T364" s="112"/>
      <c r="U364" s="112"/>
      <c r="V364" s="112"/>
      <c r="W364" s="112"/>
      <c r="X364" s="112"/>
      <c r="Y364" s="149"/>
      <c r="AC364" s="285"/>
      <c r="AD364" s="286"/>
      <c r="AE364" s="285"/>
      <c r="AF364" s="286"/>
      <c r="AG364" s="285"/>
      <c r="AH364" s="285"/>
      <c r="AI364" s="285"/>
      <c r="AJ364" s="285"/>
      <c r="AK364" s="285"/>
    </row>
    <row r="365" spans="1:37" ht="63.75">
      <c r="A365" s="247" t="s">
        <v>158</v>
      </c>
      <c r="B365" s="248" t="s">
        <v>363</v>
      </c>
      <c r="C365" s="248" t="s">
        <v>159</v>
      </c>
      <c r="D365" s="248" t="s">
        <v>160</v>
      </c>
      <c r="E365" s="247" t="s">
        <v>358</v>
      </c>
      <c r="F365" s="247" t="s">
        <v>359</v>
      </c>
      <c r="G365" s="250" t="s">
        <v>364</v>
      </c>
      <c r="H365" s="250" t="s">
        <v>365</v>
      </c>
      <c r="I365" s="381" t="s">
        <v>332</v>
      </c>
      <c r="J365" s="112"/>
      <c r="K365" s="112"/>
      <c r="L365" s="112"/>
      <c r="M365" s="112"/>
      <c r="N365" s="112"/>
      <c r="O365" s="112"/>
      <c r="P365" s="112"/>
      <c r="Q365" s="112"/>
      <c r="R365" s="112"/>
      <c r="S365" s="112"/>
      <c r="T365" s="112"/>
      <c r="U365" s="112"/>
      <c r="V365" s="112"/>
      <c r="W365" s="112"/>
      <c r="X365" s="112"/>
      <c r="Y365" s="149"/>
      <c r="AB365" s="286" t="s">
        <v>414</v>
      </c>
      <c r="AC365" s="285"/>
      <c r="AD365" s="286"/>
      <c r="AE365" s="285"/>
      <c r="AF365" s="286"/>
      <c r="AG365" s="285"/>
      <c r="AH365" s="285"/>
      <c r="AI365" s="285"/>
      <c r="AJ365" s="285"/>
      <c r="AK365" s="285"/>
    </row>
    <row r="366" spans="1:37">
      <c r="A366" s="247" t="s">
        <v>434</v>
      </c>
      <c r="B366" s="249" t="e">
        <f>$B$358+$B$359</f>
        <v>#N/A</v>
      </c>
      <c r="C366" s="251" t="e">
        <f>$C$358</f>
        <v>#N/A</v>
      </c>
      <c r="D366" s="251" t="e">
        <f>$D$358</f>
        <v>#N/A</v>
      </c>
      <c r="E366" s="252" t="e">
        <f>$B$343*$B$366*$C$366</f>
        <v>#N/A</v>
      </c>
      <c r="F366" s="252" t="e">
        <f>$B$344*$B$366*$D$366</f>
        <v>#N/A</v>
      </c>
      <c r="G366" s="253" t="e">
        <f>1.5*(ABS(H353+J353))</f>
        <v>#N/A</v>
      </c>
      <c r="H366" s="253" t="e">
        <f>1.5*ABS(L353+N353)</f>
        <v>#N/A</v>
      </c>
      <c r="I366" s="382" t="e">
        <f>IF(H366=0,"N/A",(MIN(E366,F366)-G366)/H366)</f>
        <v>#N/A</v>
      </c>
      <c r="J366" s="112"/>
      <c r="K366" s="112"/>
      <c r="L366" s="112"/>
      <c r="M366" s="112"/>
      <c r="N366" s="112"/>
      <c r="O366" s="112"/>
      <c r="P366" s="112"/>
      <c r="Q366" s="112"/>
      <c r="R366" s="112"/>
      <c r="S366" s="112"/>
      <c r="T366" s="112"/>
      <c r="U366" s="112"/>
      <c r="V366" s="112"/>
      <c r="W366" s="112"/>
      <c r="X366" s="112"/>
      <c r="Y366" s="149"/>
      <c r="AB366" s="287" t="e">
        <f>I366</f>
        <v>#N/A</v>
      </c>
      <c r="AC366" s="285"/>
      <c r="AD366" s="286"/>
      <c r="AE366" s="285"/>
      <c r="AF366" s="286"/>
      <c r="AG366" s="285"/>
      <c r="AH366" s="285"/>
      <c r="AI366" s="285"/>
      <c r="AJ366" s="285"/>
      <c r="AK366" s="285"/>
    </row>
    <row r="367" spans="1:37">
      <c r="A367" s="7"/>
      <c r="B367" s="231"/>
      <c r="C367" s="9"/>
      <c r="D367" s="9"/>
      <c r="E367" s="232"/>
      <c r="F367" s="232"/>
      <c r="G367" s="233"/>
      <c r="H367" s="233"/>
      <c r="I367" s="233"/>
      <c r="J367" s="112"/>
      <c r="K367" s="112"/>
      <c r="L367" s="112"/>
      <c r="M367" s="112"/>
      <c r="N367" s="112"/>
      <c r="O367" s="112"/>
      <c r="P367" s="112"/>
      <c r="Q367" s="112"/>
      <c r="R367" s="112"/>
      <c r="S367" s="112"/>
      <c r="T367" s="112"/>
      <c r="U367" s="112"/>
      <c r="V367" s="112"/>
      <c r="W367" s="112"/>
      <c r="X367" s="112"/>
      <c r="Y367" s="149"/>
      <c r="AC367" s="285"/>
      <c r="AD367" s="286"/>
      <c r="AE367" s="285"/>
      <c r="AF367" s="286"/>
      <c r="AG367" s="285"/>
      <c r="AH367" s="285"/>
      <c r="AI367" s="285"/>
      <c r="AJ367" s="285"/>
      <c r="AK367" s="285"/>
    </row>
    <row r="368" spans="1:37">
      <c r="A368" s="7"/>
      <c r="B368" s="231"/>
      <c r="C368" s="9"/>
      <c r="D368" s="9"/>
      <c r="E368" s="232"/>
      <c r="F368" s="232"/>
      <c r="G368" s="233"/>
      <c r="H368" s="233"/>
      <c r="I368" s="233"/>
      <c r="J368" s="112"/>
      <c r="K368" s="112"/>
      <c r="L368" s="112"/>
      <c r="M368" s="112"/>
      <c r="N368" s="112"/>
      <c r="O368" s="112"/>
      <c r="P368" s="112"/>
      <c r="Q368" s="112"/>
      <c r="R368" s="112"/>
      <c r="S368" s="112"/>
      <c r="T368" s="112"/>
      <c r="U368" s="112"/>
      <c r="V368" s="112"/>
      <c r="W368" s="112"/>
      <c r="X368" s="112"/>
      <c r="Y368" s="149"/>
      <c r="AC368" s="285"/>
      <c r="AD368" s="286"/>
      <c r="AE368" s="285"/>
      <c r="AF368" s="286"/>
      <c r="AG368" s="285"/>
      <c r="AH368" s="285"/>
      <c r="AI368" s="285"/>
      <c r="AJ368" s="285"/>
      <c r="AK368" s="285"/>
    </row>
    <row r="369" spans="1:37">
      <c r="A369" s="112"/>
      <c r="B369" s="9"/>
      <c r="C369" s="9"/>
      <c r="D369" s="9"/>
      <c r="E369" s="9"/>
      <c r="F369" s="9"/>
      <c r="G369" s="9"/>
      <c r="H369" s="9"/>
      <c r="I369" s="9"/>
      <c r="J369" s="9"/>
      <c r="K369" s="9"/>
      <c r="L369" s="112"/>
      <c r="M369" s="112"/>
      <c r="N369" s="112"/>
      <c r="O369" s="112"/>
      <c r="P369" s="112"/>
      <c r="Q369" s="112"/>
      <c r="R369" s="112"/>
      <c r="S369" s="112"/>
      <c r="T369" s="112"/>
      <c r="U369" s="112"/>
      <c r="V369" s="112"/>
      <c r="W369" s="112"/>
      <c r="X369" s="112"/>
      <c r="Y369" s="149"/>
      <c r="AC369" s="285"/>
      <c r="AD369" s="286"/>
      <c r="AE369" s="285"/>
      <c r="AF369" s="286"/>
      <c r="AG369" s="285"/>
      <c r="AH369" s="285"/>
      <c r="AI369" s="285"/>
      <c r="AJ369" s="285"/>
      <c r="AK369" s="285"/>
    </row>
    <row r="370" spans="1:37">
      <c r="A370" s="112"/>
      <c r="B370" s="9"/>
      <c r="C370" s="9"/>
      <c r="D370" s="9"/>
      <c r="E370" s="9"/>
      <c r="F370" s="9"/>
      <c r="G370" s="9"/>
      <c r="H370" s="9"/>
      <c r="I370" s="9"/>
      <c r="J370" s="9"/>
      <c r="K370" s="9"/>
      <c r="L370" s="112"/>
      <c r="M370" s="112"/>
      <c r="N370" s="112"/>
      <c r="O370" s="112"/>
      <c r="P370" s="112"/>
      <c r="Q370" s="112"/>
      <c r="R370" s="112"/>
      <c r="S370" s="112"/>
      <c r="T370" s="112"/>
      <c r="U370" s="112"/>
      <c r="V370" s="112"/>
      <c r="W370" s="112"/>
      <c r="X370" s="112"/>
      <c r="Y370" s="149"/>
      <c r="AC370" s="285"/>
      <c r="AD370" s="286"/>
      <c r="AE370" s="285"/>
      <c r="AF370" s="286"/>
      <c r="AG370" s="285"/>
      <c r="AH370" s="285"/>
      <c r="AI370" s="285"/>
      <c r="AJ370" s="285"/>
      <c r="AK370" s="285"/>
    </row>
    <row r="371" spans="1:37">
      <c r="A371" s="58" t="s">
        <v>427</v>
      </c>
      <c r="B371" s="9"/>
      <c r="C371" s="9"/>
      <c r="D371" s="9"/>
      <c r="E371" s="9"/>
      <c r="F371" s="9"/>
      <c r="G371" s="9"/>
      <c r="H371" s="9"/>
      <c r="I371" s="9"/>
      <c r="J371" s="9"/>
      <c r="K371" s="9"/>
      <c r="L371" s="112"/>
      <c r="M371" s="112"/>
      <c r="N371" s="112"/>
      <c r="O371" s="112"/>
      <c r="P371" s="112"/>
      <c r="Q371" s="112"/>
      <c r="R371" s="112"/>
      <c r="S371" s="112"/>
      <c r="T371" s="112"/>
      <c r="U371" s="112"/>
      <c r="V371" s="112"/>
      <c r="W371" s="112"/>
      <c r="X371" s="112"/>
      <c r="Y371" s="149"/>
      <c r="AC371" s="285"/>
      <c r="AD371" s="286"/>
      <c r="AE371" s="285"/>
      <c r="AF371" s="286"/>
      <c r="AG371" s="285"/>
      <c r="AH371" s="285"/>
      <c r="AI371" s="285"/>
      <c r="AJ371" s="285"/>
      <c r="AK371" s="285"/>
    </row>
    <row r="372" spans="1:37" ht="63.75">
      <c r="A372" s="247" t="s">
        <v>158</v>
      </c>
      <c r="B372" s="248" t="s">
        <v>363</v>
      </c>
      <c r="C372" s="248" t="s">
        <v>161</v>
      </c>
      <c r="D372" s="248" t="s">
        <v>162</v>
      </c>
      <c r="E372" s="247" t="s">
        <v>360</v>
      </c>
      <c r="F372" s="247" t="s">
        <v>361</v>
      </c>
      <c r="G372" s="250" t="s">
        <v>366</v>
      </c>
      <c r="H372" s="250" t="s">
        <v>367</v>
      </c>
      <c r="I372" s="381" t="s">
        <v>332</v>
      </c>
      <c r="J372" s="112"/>
      <c r="K372" s="112"/>
      <c r="L372" s="112"/>
      <c r="M372" s="112"/>
      <c r="N372" s="112"/>
      <c r="O372" s="112"/>
      <c r="P372" s="112"/>
      <c r="Q372" s="112"/>
      <c r="R372" s="112"/>
      <c r="S372" s="112"/>
      <c r="T372" s="112"/>
      <c r="U372" s="112"/>
      <c r="V372" s="112"/>
      <c r="W372" s="112"/>
      <c r="X372" s="112"/>
      <c r="Y372" s="149"/>
      <c r="AB372" s="286" t="s">
        <v>415</v>
      </c>
      <c r="AC372" s="285"/>
      <c r="AD372" s="286"/>
      <c r="AE372" s="285"/>
      <c r="AF372" s="286"/>
      <c r="AG372" s="285"/>
      <c r="AH372" s="285"/>
      <c r="AI372" s="285"/>
      <c r="AJ372" s="285"/>
      <c r="AK372" s="285"/>
    </row>
    <row r="373" spans="1:37">
      <c r="A373" s="247" t="s">
        <v>434</v>
      </c>
      <c r="B373" s="249" t="e">
        <f>$B$358+$B$359</f>
        <v>#N/A</v>
      </c>
      <c r="C373" s="251" t="e">
        <f>$E$358</f>
        <v>#N/A</v>
      </c>
      <c r="D373" s="251" t="e">
        <f>$F$358</f>
        <v>#N/A</v>
      </c>
      <c r="E373" s="253" t="e">
        <f>$B$343*$B$373*$C$373</f>
        <v>#N/A</v>
      </c>
      <c r="F373" s="253" t="e">
        <f>$B$344*$B$373*$D$373</f>
        <v>#N/A</v>
      </c>
      <c r="G373" s="253" t="e">
        <f>1.5*MAX(MAX(ABS(I351),ABS(I352),MAX(ABS(K351),ABS(K352))))</f>
        <v>#N/A</v>
      </c>
      <c r="H373" s="253" t="e">
        <f>1.5*MAX(MAX(ABS(M351),ABS(M352),MAX(ABS(O351),ABS(O352))))</f>
        <v>#N/A</v>
      </c>
      <c r="I373" s="382" t="e">
        <f>IF(H373=0,"N/A",(MIN(E373,F373)-G373)/H373)</f>
        <v>#N/A</v>
      </c>
      <c r="J373" s="112"/>
      <c r="K373" s="112"/>
      <c r="L373" s="112"/>
      <c r="M373" s="112"/>
      <c r="N373" s="112"/>
      <c r="O373" s="112"/>
      <c r="P373" s="112"/>
      <c r="Q373" s="112"/>
      <c r="R373" s="112"/>
      <c r="S373" s="112"/>
      <c r="T373" s="112"/>
      <c r="U373" s="112"/>
      <c r="V373" s="112"/>
      <c r="W373" s="112"/>
      <c r="X373" s="112"/>
      <c r="Y373" s="149"/>
      <c r="AB373" s="287" t="e">
        <f>I373</f>
        <v>#N/A</v>
      </c>
      <c r="AC373" s="285"/>
      <c r="AD373" s="286"/>
      <c r="AE373" s="285"/>
      <c r="AF373" s="286"/>
      <c r="AG373" s="285"/>
      <c r="AH373" s="285"/>
      <c r="AI373" s="285"/>
      <c r="AJ373" s="285"/>
      <c r="AK373" s="285"/>
    </row>
    <row r="374" spans="1:37">
      <c r="A374" s="112"/>
      <c r="B374" s="9"/>
      <c r="C374" s="9"/>
      <c r="D374" s="9"/>
      <c r="E374" s="9"/>
      <c r="F374" s="9"/>
      <c r="G374" s="9"/>
      <c r="H374" s="9"/>
      <c r="I374" s="9"/>
      <c r="J374" s="9"/>
      <c r="K374" s="9"/>
      <c r="L374" s="112"/>
      <c r="M374" s="112"/>
      <c r="N374" s="112"/>
      <c r="O374" s="112"/>
      <c r="P374" s="112"/>
      <c r="Q374" s="112"/>
      <c r="R374" s="112"/>
      <c r="S374" s="112"/>
      <c r="T374" s="112"/>
      <c r="U374" s="112"/>
      <c r="V374" s="112"/>
      <c r="W374" s="112"/>
      <c r="X374" s="112"/>
      <c r="Y374" s="149"/>
      <c r="AC374" s="285"/>
      <c r="AD374" s="286"/>
      <c r="AE374" s="285"/>
      <c r="AF374" s="286"/>
      <c r="AG374" s="285"/>
      <c r="AH374" s="285"/>
      <c r="AI374" s="285"/>
      <c r="AJ374" s="285"/>
      <c r="AK374" s="285"/>
    </row>
    <row r="375" spans="1:37">
      <c r="A375" s="427" t="s">
        <v>445</v>
      </c>
      <c r="B375" s="428"/>
      <c r="C375" s="428"/>
      <c r="D375" s="428"/>
      <c r="E375" s="428"/>
      <c r="F375" s="428"/>
      <c r="G375" s="428"/>
      <c r="H375" s="428"/>
      <c r="I375" s="428"/>
      <c r="T375" s="112"/>
      <c r="U375" s="112"/>
      <c r="V375" s="112"/>
      <c r="W375" s="112"/>
      <c r="X375" s="112"/>
      <c r="Y375" s="149"/>
      <c r="AC375" s="285"/>
      <c r="AD375" s="286"/>
      <c r="AE375" s="285"/>
      <c r="AF375" s="286"/>
      <c r="AG375" s="285"/>
      <c r="AH375" s="285"/>
      <c r="AI375" s="285"/>
      <c r="AJ375" s="285"/>
      <c r="AK375" s="285"/>
    </row>
    <row r="376" spans="1:37">
      <c r="Y376" s="149"/>
    </row>
  </sheetData>
  <mergeCells count="45">
    <mergeCell ref="B19:F19"/>
    <mergeCell ref="B11:F11"/>
    <mergeCell ref="G13:J13"/>
    <mergeCell ref="A52:L52"/>
    <mergeCell ref="A375:I375"/>
    <mergeCell ref="G33:G34"/>
    <mergeCell ref="C26:C28"/>
    <mergeCell ref="A33:B33"/>
    <mergeCell ref="C33:D33"/>
    <mergeCell ref="E33:F33"/>
    <mergeCell ref="H33:H34"/>
    <mergeCell ref="H349:K349"/>
    <mergeCell ref="L349:O349"/>
    <mergeCell ref="H201:I201"/>
    <mergeCell ref="J201:K201"/>
    <mergeCell ref="I233:J233"/>
    <mergeCell ref="K233:L233"/>
    <mergeCell ref="A2:F2"/>
    <mergeCell ref="B8:F8"/>
    <mergeCell ref="B18:F18"/>
    <mergeCell ref="B17:F17"/>
    <mergeCell ref="B6:F6"/>
    <mergeCell ref="B16:F16"/>
    <mergeCell ref="B9:F9"/>
    <mergeCell ref="B7:F7"/>
    <mergeCell ref="B5:C5"/>
    <mergeCell ref="B12:F12"/>
    <mergeCell ref="B10:F10"/>
    <mergeCell ref="G11:J11"/>
    <mergeCell ref="P349:S349"/>
    <mergeCell ref="G278:G281"/>
    <mergeCell ref="G282:G285"/>
    <mergeCell ref="J210:K210"/>
    <mergeCell ref="H210:I210"/>
    <mergeCell ref="I33:I34"/>
    <mergeCell ref="G6:J6"/>
    <mergeCell ref="G7:J7"/>
    <mergeCell ref="G8:J8"/>
    <mergeCell ref="G9:J9"/>
    <mergeCell ref="G12:J12"/>
    <mergeCell ref="K1:N1"/>
    <mergeCell ref="K4:L4"/>
    <mergeCell ref="M4:N4"/>
    <mergeCell ref="G4:J4"/>
    <mergeCell ref="G5:J5"/>
  </mergeCells>
  <phoneticPr fontId="2" type="noConversion"/>
  <conditionalFormatting sqref="A364 A366:A368 A371 A373 G365:I365 A358:A361 A362:F362 D319:G319 B316:I316 D292:M292 B290:I290 G202 G211 G234 E268:J268 G350:S350 G173 G145 G56:L56 G115 L68:O68 D68:E68 G372:I372 B334:E334 B332:E332 B326:E326 B324:E324 B308:E308 B306:E306 B300:E300 B298:E298">
    <cfRule type="cellIs" dxfId="153" priority="725" stopIfTrue="1" operator="equal">
      <formula>"n/a"</formula>
    </cfRule>
  </conditionalFormatting>
  <conditionalFormatting sqref="G351:S352 D317:I320 H293:M314 D291:I294 I269:J273 G235:G239 G212:G216 G203:G207 G174:G178 G116:G120 G146:G150 K116:K120 M116:M120 I146:O150 K6:N13 B333:E336 B325:E328 B307:E310 B299:E302">
    <cfRule type="cellIs" dxfId="152" priority="729" stopIfTrue="1" operator="equal">
      <formula>"NG"</formula>
    </cfRule>
  </conditionalFormatting>
  <conditionalFormatting sqref="O358:P359 Q358:R361 S358:S359 Y359:Z362 V359:V362 O235:P239 U274:W288 U254:W267 W274:W289 J317:M320 J291:M294 L253 N203:O207 N212:O216 L227:L229 F105:F106 O174:P178 P146:W150 N116:Q120">
    <cfRule type="cellIs" dxfId="151" priority="731" stopIfTrue="1" operator="equal">
      <formula>"NG"</formula>
    </cfRule>
    <cfRule type="cellIs" dxfId="150" priority="732" stopIfTrue="1" operator="equal">
      <formula>"N/A"</formula>
    </cfRule>
  </conditionalFormatting>
  <conditionalFormatting sqref="B261:B265 B286:B288 B268:B275 B254:B255 B320:C336 B293:C314">
    <cfRule type="cellIs" dxfId="149" priority="733" stopIfTrue="1" operator="equal">
      <formula>"Yes"</formula>
    </cfRule>
    <cfRule type="cellIs" dxfId="148" priority="734" stopIfTrue="1" operator="equal">
      <formula>"No"</formula>
    </cfRule>
  </conditionalFormatting>
  <conditionalFormatting sqref="D274:E275 D286:E288 D254:E265">
    <cfRule type="cellIs" dxfId="147" priority="735" stopIfTrue="1" operator="equal">
      <formula>"N/A"</formula>
    </cfRule>
    <cfRule type="cellIs" dxfId="146" priority="736" stopIfTrue="1" operator="notEqual">
      <formula>"N/A"</formula>
    </cfRule>
  </conditionalFormatting>
  <conditionalFormatting sqref="H146">
    <cfRule type="expression" dxfId="145" priority="737" stopIfTrue="1">
      <formula>$S$146="NG"</formula>
    </cfRule>
  </conditionalFormatting>
  <conditionalFormatting sqref="H147">
    <cfRule type="expression" dxfId="144" priority="738" stopIfTrue="1">
      <formula>$S$147="NG"</formula>
    </cfRule>
  </conditionalFormatting>
  <conditionalFormatting sqref="H148">
    <cfRule type="expression" dxfId="143" priority="739" stopIfTrue="1">
      <formula>$S$148="NG"</formula>
    </cfRule>
  </conditionalFormatting>
  <conditionalFormatting sqref="H149">
    <cfRule type="expression" dxfId="142" priority="740" stopIfTrue="1">
      <formula>$S$149="NG"</formula>
    </cfRule>
  </conditionalFormatting>
  <conditionalFormatting sqref="H150">
    <cfRule type="expression" dxfId="141" priority="741" stopIfTrue="1">
      <formula>$S$150="NG"</formula>
    </cfRule>
  </conditionalFormatting>
  <conditionalFormatting sqref="O183:O187">
    <cfRule type="cellIs" dxfId="140" priority="126" stopIfTrue="1" operator="equal">
      <formula>"NG"</formula>
    </cfRule>
    <cfRule type="cellIs" dxfId="139" priority="127" stopIfTrue="1" operator="equal">
      <formula>"N/A"</formula>
    </cfRule>
  </conditionalFormatting>
  <conditionalFormatting sqref="O183">
    <cfRule type="cellIs" dxfId="138" priority="124" stopIfTrue="1" operator="equal">
      <formula>"NG"</formula>
    </cfRule>
    <cfRule type="cellIs" dxfId="137" priority="125" stopIfTrue="1" operator="equal">
      <formula>"N/A"</formula>
    </cfRule>
  </conditionalFormatting>
  <conditionalFormatting sqref="O184:O187">
    <cfRule type="cellIs" dxfId="136" priority="122" stopIfTrue="1" operator="equal">
      <formula>"NG"</formula>
    </cfRule>
    <cfRule type="cellIs" dxfId="135" priority="123" stopIfTrue="1" operator="equal">
      <formula>"N/A"</formula>
    </cfRule>
  </conditionalFormatting>
  <conditionalFormatting sqref="L183:N187">
    <cfRule type="cellIs" dxfId="134" priority="120" stopIfTrue="1" operator="equal">
      <formula>"NG"</formula>
    </cfRule>
    <cfRule type="cellIs" dxfId="133" priority="121" stopIfTrue="1" operator="equal">
      <formula>"N/A"</formula>
    </cfRule>
  </conditionalFormatting>
  <conditionalFormatting sqref="L183:N183">
    <cfRule type="cellIs" dxfId="132" priority="118" stopIfTrue="1" operator="equal">
      <formula>"NG"</formula>
    </cfRule>
    <cfRule type="cellIs" dxfId="131" priority="119" stopIfTrue="1" operator="equal">
      <formula>"N/A"</formula>
    </cfRule>
  </conditionalFormatting>
  <conditionalFormatting sqref="L184:N187">
    <cfRule type="cellIs" dxfId="130" priority="116" stopIfTrue="1" operator="equal">
      <formula>"NG"</formula>
    </cfRule>
    <cfRule type="cellIs" dxfId="129" priority="117" stopIfTrue="1" operator="equal">
      <formula>"N/A"</formula>
    </cfRule>
  </conditionalFormatting>
  <conditionalFormatting sqref="E155:E159">
    <cfRule type="cellIs" dxfId="128" priority="114" stopIfTrue="1" operator="equal">
      <formula>"NG"</formula>
    </cfRule>
    <cfRule type="cellIs" dxfId="127" priority="115" stopIfTrue="1" operator="equal">
      <formula>"N/A"</formula>
    </cfRule>
  </conditionalFormatting>
  <conditionalFormatting sqref="E155">
    <cfRule type="cellIs" dxfId="126" priority="112" stopIfTrue="1" operator="equal">
      <formula>"NG"</formula>
    </cfRule>
    <cfRule type="cellIs" dxfId="125" priority="113" stopIfTrue="1" operator="equal">
      <formula>"N/A"</formula>
    </cfRule>
  </conditionalFormatting>
  <conditionalFormatting sqref="E156:E159">
    <cfRule type="cellIs" dxfId="124" priority="110" stopIfTrue="1" operator="equal">
      <formula>"NG"</formula>
    </cfRule>
    <cfRule type="cellIs" dxfId="123" priority="111" stopIfTrue="1" operator="equal">
      <formula>"N/A"</formula>
    </cfRule>
  </conditionalFormatting>
  <conditionalFormatting sqref="F155:K159">
    <cfRule type="cellIs" dxfId="122" priority="108" stopIfTrue="1" operator="equal">
      <formula>"NG"</formula>
    </cfRule>
    <cfRule type="cellIs" dxfId="121" priority="109" stopIfTrue="1" operator="equal">
      <formula>"N/A"</formula>
    </cfRule>
  </conditionalFormatting>
  <conditionalFormatting sqref="F155:K155">
    <cfRule type="cellIs" dxfId="120" priority="106" stopIfTrue="1" operator="equal">
      <formula>"NG"</formula>
    </cfRule>
    <cfRule type="cellIs" dxfId="119" priority="107" stopIfTrue="1" operator="equal">
      <formula>"N/A"</formula>
    </cfRule>
  </conditionalFormatting>
  <conditionalFormatting sqref="F156:K159">
    <cfRule type="cellIs" dxfId="118" priority="104" stopIfTrue="1" operator="equal">
      <formula>"NG"</formula>
    </cfRule>
    <cfRule type="cellIs" dxfId="117" priority="105" stopIfTrue="1" operator="equal">
      <formula>"N/A"</formula>
    </cfRule>
  </conditionalFormatting>
  <conditionalFormatting sqref="J221:J225">
    <cfRule type="cellIs" dxfId="116" priority="102" stopIfTrue="1" operator="equal">
      <formula>"NG"</formula>
    </cfRule>
    <cfRule type="cellIs" dxfId="115" priority="103" stopIfTrue="1" operator="equal">
      <formula>"N/A"</formula>
    </cfRule>
  </conditionalFormatting>
  <conditionalFormatting sqref="J221">
    <cfRule type="cellIs" dxfId="114" priority="100" stopIfTrue="1" operator="equal">
      <formula>"NG"</formula>
    </cfRule>
    <cfRule type="cellIs" dxfId="113" priority="101" stopIfTrue="1" operator="equal">
      <formula>"N/A"</formula>
    </cfRule>
  </conditionalFormatting>
  <conditionalFormatting sqref="J222:J225">
    <cfRule type="cellIs" dxfId="112" priority="98" stopIfTrue="1" operator="equal">
      <formula>"NG"</formula>
    </cfRule>
    <cfRule type="cellIs" dxfId="111" priority="99" stopIfTrue="1" operator="equal">
      <formula>"N/A"</formula>
    </cfRule>
  </conditionalFormatting>
  <conditionalFormatting sqref="J245:J249">
    <cfRule type="cellIs" dxfId="110" priority="96" stopIfTrue="1" operator="equal">
      <formula>"NG"</formula>
    </cfRule>
    <cfRule type="cellIs" dxfId="109" priority="97" stopIfTrue="1" operator="equal">
      <formula>"N/A"</formula>
    </cfRule>
  </conditionalFormatting>
  <conditionalFormatting sqref="J245">
    <cfRule type="cellIs" dxfId="108" priority="94" stopIfTrue="1" operator="equal">
      <formula>"NG"</formula>
    </cfRule>
    <cfRule type="cellIs" dxfId="107" priority="95" stopIfTrue="1" operator="equal">
      <formula>"N/A"</formula>
    </cfRule>
  </conditionalFormatting>
  <conditionalFormatting sqref="J246:J249">
    <cfRule type="cellIs" dxfId="106" priority="92" stopIfTrue="1" operator="equal">
      <formula>"NG"</formula>
    </cfRule>
    <cfRule type="cellIs" dxfId="105" priority="93" stopIfTrue="1" operator="equal">
      <formula>"N/A"</formula>
    </cfRule>
  </conditionalFormatting>
  <conditionalFormatting sqref="G245:G249">
    <cfRule type="cellIs" dxfId="104" priority="90" stopIfTrue="1" operator="equal">
      <formula>"NG"</formula>
    </cfRule>
    <cfRule type="cellIs" dxfId="103" priority="91" stopIfTrue="1" operator="equal">
      <formula>"N/A"</formula>
    </cfRule>
  </conditionalFormatting>
  <conditionalFormatting sqref="G245">
    <cfRule type="cellIs" dxfId="102" priority="88" stopIfTrue="1" operator="equal">
      <formula>"NG"</formula>
    </cfRule>
    <cfRule type="cellIs" dxfId="101" priority="89" stopIfTrue="1" operator="equal">
      <formula>"N/A"</formula>
    </cfRule>
  </conditionalFormatting>
  <conditionalFormatting sqref="G246:G249">
    <cfRule type="cellIs" dxfId="100" priority="86" stopIfTrue="1" operator="equal">
      <formula>"NG"</formula>
    </cfRule>
    <cfRule type="cellIs" dxfId="99" priority="87" stopIfTrue="1" operator="equal">
      <formula>"N/A"</formula>
    </cfRule>
  </conditionalFormatting>
  <conditionalFormatting sqref="H245:H249">
    <cfRule type="cellIs" dxfId="98" priority="84" stopIfTrue="1" operator="equal">
      <formula>"NG"</formula>
    </cfRule>
    <cfRule type="cellIs" dxfId="97" priority="85" stopIfTrue="1" operator="equal">
      <formula>"N/A"</formula>
    </cfRule>
  </conditionalFormatting>
  <conditionalFormatting sqref="H245">
    <cfRule type="cellIs" dxfId="96" priority="82" stopIfTrue="1" operator="equal">
      <formula>"NG"</formula>
    </cfRule>
    <cfRule type="cellIs" dxfId="95" priority="83" stopIfTrue="1" operator="equal">
      <formula>"N/A"</formula>
    </cfRule>
  </conditionalFormatting>
  <conditionalFormatting sqref="H246:H249">
    <cfRule type="cellIs" dxfId="94" priority="80" stopIfTrue="1" operator="equal">
      <formula>"NG"</formula>
    </cfRule>
    <cfRule type="cellIs" dxfId="93" priority="81" stopIfTrue="1" operator="equal">
      <formula>"N/A"</formula>
    </cfRule>
  </conditionalFormatting>
  <conditionalFormatting sqref="H125:H129">
    <cfRule type="cellIs" dxfId="92" priority="78" stopIfTrue="1" operator="equal">
      <formula>"NG"</formula>
    </cfRule>
    <cfRule type="cellIs" dxfId="91" priority="79" stopIfTrue="1" operator="equal">
      <formula>"N/A"</formula>
    </cfRule>
  </conditionalFormatting>
  <conditionalFormatting sqref="H125">
    <cfRule type="cellIs" dxfId="90" priority="76" stopIfTrue="1" operator="equal">
      <formula>"NG"</formula>
    </cfRule>
    <cfRule type="cellIs" dxfId="89" priority="77" stopIfTrue="1" operator="equal">
      <formula>"N/A"</formula>
    </cfRule>
  </conditionalFormatting>
  <conditionalFormatting sqref="H126:H129">
    <cfRule type="cellIs" dxfId="88" priority="74" stopIfTrue="1" operator="equal">
      <formula>"NG"</formula>
    </cfRule>
    <cfRule type="cellIs" dxfId="87" priority="75" stopIfTrue="1" operator="equal">
      <formula>"N/A"</formula>
    </cfRule>
  </conditionalFormatting>
  <conditionalFormatting sqref="E125:G129">
    <cfRule type="cellIs" dxfId="86" priority="72" stopIfTrue="1" operator="equal">
      <formula>"NG"</formula>
    </cfRule>
    <cfRule type="cellIs" dxfId="85" priority="73" stopIfTrue="1" operator="equal">
      <formula>"N/A"</formula>
    </cfRule>
  </conditionalFormatting>
  <conditionalFormatting sqref="E125:G125">
    <cfRule type="cellIs" dxfId="84" priority="70" stopIfTrue="1" operator="equal">
      <formula>"NG"</formula>
    </cfRule>
    <cfRule type="cellIs" dxfId="83" priority="71" stopIfTrue="1" operator="equal">
      <formula>"N/A"</formula>
    </cfRule>
  </conditionalFormatting>
  <conditionalFormatting sqref="E126:G129">
    <cfRule type="cellIs" dxfId="82" priority="68" stopIfTrue="1" operator="equal">
      <formula>"NG"</formula>
    </cfRule>
    <cfRule type="cellIs" dxfId="81" priority="69" stopIfTrue="1" operator="equal">
      <formula>"N/A"</formula>
    </cfRule>
  </conditionalFormatting>
  <conditionalFormatting sqref="I366">
    <cfRule type="cellIs" dxfId="80" priority="66" stopIfTrue="1" operator="equal">
      <formula>"NG"</formula>
    </cfRule>
    <cfRule type="cellIs" dxfId="79" priority="67" stopIfTrue="1" operator="equal">
      <formula>"N/A"</formula>
    </cfRule>
  </conditionalFormatting>
  <conditionalFormatting sqref="I366">
    <cfRule type="cellIs" dxfId="78" priority="64" stopIfTrue="1" operator="equal">
      <formula>"NG"</formula>
    </cfRule>
    <cfRule type="cellIs" dxfId="77" priority="65" stopIfTrue="1" operator="equal">
      <formula>"N/A"</formula>
    </cfRule>
  </conditionalFormatting>
  <conditionalFormatting sqref="I373">
    <cfRule type="cellIs" dxfId="76" priority="62" stopIfTrue="1" operator="equal">
      <formula>"NG"</formula>
    </cfRule>
    <cfRule type="cellIs" dxfId="75" priority="63" stopIfTrue="1" operator="equal">
      <formula>"N/A"</formula>
    </cfRule>
  </conditionalFormatting>
  <conditionalFormatting sqref="I373">
    <cfRule type="cellIs" dxfId="74" priority="60" stopIfTrue="1" operator="equal">
      <formula>"NG"</formula>
    </cfRule>
    <cfRule type="cellIs" dxfId="73" priority="61" stopIfTrue="1" operator="equal">
      <formula>"N/A"</formula>
    </cfRule>
  </conditionalFormatting>
  <conditionalFormatting sqref="E333">
    <cfRule type="cellIs" dxfId="72" priority="58" stopIfTrue="1" operator="equal">
      <formula>"NG"</formula>
    </cfRule>
    <cfRule type="cellIs" dxfId="71" priority="59" stopIfTrue="1" operator="equal">
      <formula>"N/A"</formula>
    </cfRule>
  </conditionalFormatting>
  <conditionalFormatting sqref="E333">
    <cfRule type="cellIs" dxfId="70" priority="56" stopIfTrue="1" operator="equal">
      <formula>"NG"</formula>
    </cfRule>
    <cfRule type="cellIs" dxfId="69" priority="57" stopIfTrue="1" operator="equal">
      <formula>"N/A"</formula>
    </cfRule>
  </conditionalFormatting>
  <conditionalFormatting sqref="E334:E336">
    <cfRule type="cellIs" dxfId="68" priority="54" stopIfTrue="1" operator="equal">
      <formula>"NG"</formula>
    </cfRule>
    <cfRule type="cellIs" dxfId="67" priority="55" stopIfTrue="1" operator="equal">
      <formula>"N/A"</formula>
    </cfRule>
  </conditionalFormatting>
  <conditionalFormatting sqref="E334:E336">
    <cfRule type="cellIs" dxfId="66" priority="52" stopIfTrue="1" operator="equal">
      <formula>"NG"</formula>
    </cfRule>
    <cfRule type="cellIs" dxfId="65" priority="53" stopIfTrue="1" operator="equal">
      <formula>"N/A"</formula>
    </cfRule>
  </conditionalFormatting>
  <conditionalFormatting sqref="B333:D333">
    <cfRule type="cellIs" dxfId="64" priority="50" stopIfTrue="1" operator="equal">
      <formula>"NG"</formula>
    </cfRule>
    <cfRule type="cellIs" dxfId="63" priority="51" stopIfTrue="1" operator="equal">
      <formula>"N/A"</formula>
    </cfRule>
  </conditionalFormatting>
  <conditionalFormatting sqref="B333:D333">
    <cfRule type="cellIs" dxfId="62" priority="48" stopIfTrue="1" operator="equal">
      <formula>"NG"</formula>
    </cfRule>
    <cfRule type="cellIs" dxfId="61" priority="49" stopIfTrue="1" operator="equal">
      <formula>"N/A"</formula>
    </cfRule>
  </conditionalFormatting>
  <conditionalFormatting sqref="B333:D333">
    <cfRule type="cellIs" dxfId="60" priority="46" stopIfTrue="1" operator="equal">
      <formula>"NG"</formula>
    </cfRule>
    <cfRule type="cellIs" dxfId="59" priority="47" stopIfTrue="1" operator="equal">
      <formula>"N/A"</formula>
    </cfRule>
  </conditionalFormatting>
  <conditionalFormatting sqref="B333:D333">
    <cfRule type="cellIs" dxfId="58" priority="44" stopIfTrue="1" operator="equal">
      <formula>"NG"</formula>
    </cfRule>
    <cfRule type="cellIs" dxfId="57" priority="45" stopIfTrue="1" operator="equal">
      <formula>"N/A"</formula>
    </cfRule>
  </conditionalFormatting>
  <conditionalFormatting sqref="B334:D336">
    <cfRule type="cellIs" dxfId="56" priority="42" stopIfTrue="1" operator="equal">
      <formula>"NG"</formula>
    </cfRule>
    <cfRule type="cellIs" dxfId="55" priority="43" stopIfTrue="1" operator="equal">
      <formula>"N/A"</formula>
    </cfRule>
  </conditionalFormatting>
  <conditionalFormatting sqref="B334:D336">
    <cfRule type="cellIs" dxfId="54" priority="40" stopIfTrue="1" operator="equal">
      <formula>"NG"</formula>
    </cfRule>
    <cfRule type="cellIs" dxfId="53" priority="41" stopIfTrue="1" operator="equal">
      <formula>"N/A"</formula>
    </cfRule>
  </conditionalFormatting>
  <conditionalFormatting sqref="E325">
    <cfRule type="cellIs" dxfId="52" priority="38" stopIfTrue="1" operator="equal">
      <formula>"NG"</formula>
    </cfRule>
    <cfRule type="cellIs" dxfId="51" priority="39" stopIfTrue="1" operator="equal">
      <formula>"N/A"</formula>
    </cfRule>
  </conditionalFormatting>
  <conditionalFormatting sqref="E325">
    <cfRule type="cellIs" dxfId="50" priority="36" stopIfTrue="1" operator="equal">
      <formula>"NG"</formula>
    </cfRule>
    <cfRule type="cellIs" dxfId="49" priority="37" stopIfTrue="1" operator="equal">
      <formula>"N/A"</formula>
    </cfRule>
  </conditionalFormatting>
  <conditionalFormatting sqref="E326:E328">
    <cfRule type="cellIs" dxfId="48" priority="34" stopIfTrue="1" operator="equal">
      <formula>"NG"</formula>
    </cfRule>
    <cfRule type="cellIs" dxfId="47" priority="35" stopIfTrue="1" operator="equal">
      <formula>"N/A"</formula>
    </cfRule>
  </conditionalFormatting>
  <conditionalFormatting sqref="E326:E328">
    <cfRule type="cellIs" dxfId="46" priority="32" stopIfTrue="1" operator="equal">
      <formula>"NG"</formula>
    </cfRule>
    <cfRule type="cellIs" dxfId="45" priority="33" stopIfTrue="1" operator="equal">
      <formula>"N/A"</formula>
    </cfRule>
  </conditionalFormatting>
  <conditionalFormatting sqref="B325:D325">
    <cfRule type="cellIs" dxfId="44" priority="30" stopIfTrue="1" operator="equal">
      <formula>"NG"</formula>
    </cfRule>
    <cfRule type="cellIs" dxfId="43" priority="31" stopIfTrue="1" operator="equal">
      <formula>"N/A"</formula>
    </cfRule>
  </conditionalFormatting>
  <conditionalFormatting sqref="B325:D325">
    <cfRule type="cellIs" dxfId="42" priority="28" stopIfTrue="1" operator="equal">
      <formula>"NG"</formula>
    </cfRule>
    <cfRule type="cellIs" dxfId="41" priority="29" stopIfTrue="1" operator="equal">
      <formula>"N/A"</formula>
    </cfRule>
  </conditionalFormatting>
  <conditionalFormatting sqref="B325:D325">
    <cfRule type="cellIs" dxfId="40" priority="26" stopIfTrue="1" operator="equal">
      <formula>"NG"</formula>
    </cfRule>
    <cfRule type="cellIs" dxfId="39" priority="27" stopIfTrue="1" operator="equal">
      <formula>"N/A"</formula>
    </cfRule>
  </conditionalFormatting>
  <conditionalFormatting sqref="B325:D325">
    <cfRule type="cellIs" dxfId="38" priority="24" stopIfTrue="1" operator="equal">
      <formula>"NG"</formula>
    </cfRule>
    <cfRule type="cellIs" dxfId="37" priority="25" stopIfTrue="1" operator="equal">
      <formula>"N/A"</formula>
    </cfRule>
  </conditionalFormatting>
  <conditionalFormatting sqref="B326:D328">
    <cfRule type="cellIs" dxfId="36" priority="22" stopIfTrue="1" operator="equal">
      <formula>"NG"</formula>
    </cfRule>
    <cfRule type="cellIs" dxfId="35" priority="23" stopIfTrue="1" operator="equal">
      <formula>"N/A"</formula>
    </cfRule>
  </conditionalFormatting>
  <conditionalFormatting sqref="B326:D328">
    <cfRule type="cellIs" dxfId="34" priority="20" stopIfTrue="1" operator="equal">
      <formula>"NG"</formula>
    </cfRule>
    <cfRule type="cellIs" dxfId="33" priority="21" stopIfTrue="1" operator="equal">
      <formula>"N/A"</formula>
    </cfRule>
  </conditionalFormatting>
  <conditionalFormatting sqref="B307:E307">
    <cfRule type="cellIs" dxfId="32" priority="18" stopIfTrue="1" operator="equal">
      <formula>"NG"</formula>
    </cfRule>
    <cfRule type="cellIs" dxfId="31" priority="19" stopIfTrue="1" operator="equal">
      <formula>"N/A"</formula>
    </cfRule>
  </conditionalFormatting>
  <conditionalFormatting sqref="B307:E307">
    <cfRule type="cellIs" dxfId="30" priority="16" stopIfTrue="1" operator="equal">
      <formula>"NG"</formula>
    </cfRule>
    <cfRule type="cellIs" dxfId="29" priority="17" stopIfTrue="1" operator="equal">
      <formula>"N/A"</formula>
    </cfRule>
  </conditionalFormatting>
  <conditionalFormatting sqref="B308:E310">
    <cfRule type="cellIs" dxfId="28" priority="14" stopIfTrue="1" operator="equal">
      <formula>"NG"</formula>
    </cfRule>
    <cfRule type="cellIs" dxfId="27" priority="15" stopIfTrue="1" operator="equal">
      <formula>"N/A"</formula>
    </cfRule>
  </conditionalFormatting>
  <conditionalFormatting sqref="B308:E310">
    <cfRule type="cellIs" dxfId="26" priority="12" stopIfTrue="1" operator="equal">
      <formula>"NG"</formula>
    </cfRule>
    <cfRule type="cellIs" dxfId="25" priority="13" stopIfTrue="1" operator="equal">
      <formula>"N/A"</formula>
    </cfRule>
  </conditionalFormatting>
  <conditionalFormatting sqref="B299:E299">
    <cfRule type="cellIs" dxfId="24" priority="10" stopIfTrue="1" operator="equal">
      <formula>"NG"</formula>
    </cfRule>
    <cfRule type="cellIs" dxfId="23" priority="11" stopIfTrue="1" operator="equal">
      <formula>"N/A"</formula>
    </cfRule>
  </conditionalFormatting>
  <conditionalFormatting sqref="B299:E299">
    <cfRule type="cellIs" dxfId="22" priority="8" stopIfTrue="1" operator="equal">
      <formula>"NG"</formula>
    </cfRule>
    <cfRule type="cellIs" dxfId="21" priority="9" stopIfTrue="1" operator="equal">
      <formula>"N/A"</formula>
    </cfRule>
  </conditionalFormatting>
  <conditionalFormatting sqref="B300:E302">
    <cfRule type="cellIs" dxfId="20" priority="6" stopIfTrue="1" operator="equal">
      <formula>"NG"</formula>
    </cfRule>
    <cfRule type="cellIs" dxfId="19" priority="7" stopIfTrue="1" operator="equal">
      <formula>"N/A"</formula>
    </cfRule>
  </conditionalFormatting>
  <conditionalFormatting sqref="B300:E302">
    <cfRule type="cellIs" dxfId="18" priority="4" stopIfTrue="1" operator="equal">
      <formula>"NG"</formula>
    </cfRule>
    <cfRule type="cellIs" dxfId="17" priority="5" stopIfTrue="1" operator="equal">
      <formula>"N/A"</formula>
    </cfRule>
  </conditionalFormatting>
  <conditionalFormatting sqref="H296:M296">
    <cfRule type="cellIs" dxfId="16" priority="3" stopIfTrue="1" operator="equal">
      <formula>"NG"</formula>
    </cfRule>
  </conditionalFormatting>
  <conditionalFormatting sqref="B296:C296">
    <cfRule type="cellIs" dxfId="15" priority="1" stopIfTrue="1" operator="equal">
      <formula>"Yes"</formula>
    </cfRule>
    <cfRule type="cellIs" dxfId="14" priority="2" stopIfTrue="1" operator="equal">
      <formula>"No"</formula>
    </cfRule>
  </conditionalFormatting>
  <pageMargins left="0.75" right="0.75" top="1" bottom="1" header="0.5" footer="0.5"/>
  <pageSetup paperSize="17" scale="46" fitToHeight="0" orientation="landscape" r:id="rId1"/>
  <headerFooter alignWithMargins="0">
    <oddFooter>&amp;A&amp;RPage &amp;P</oddFooter>
  </headerFooter>
  <legacyDrawing r:id="rId2"/>
</worksheet>
</file>

<file path=xl/worksheets/sheet2.xml><?xml version="1.0" encoding="utf-8"?>
<worksheet xmlns="http://schemas.openxmlformats.org/spreadsheetml/2006/main" xmlns:r="http://schemas.openxmlformats.org/officeDocument/2006/relationships">
  <sheetPr codeName="Sheet2">
    <pageSetUpPr fitToPage="1"/>
  </sheetPr>
  <dimension ref="A1:AF513"/>
  <sheetViews>
    <sheetView showGridLines="0" zoomScale="85" zoomScaleNormal="85" workbookViewId="0">
      <selection activeCell="A12" sqref="A12"/>
    </sheetView>
  </sheetViews>
  <sheetFormatPr defaultRowHeight="12.75"/>
  <cols>
    <col min="1" max="1" width="9.140625" style="133"/>
    <col min="2" max="2" width="21.140625" style="132" customWidth="1"/>
    <col min="3" max="4" width="9.140625" style="133"/>
    <col min="5" max="5" width="14.140625" style="132" customWidth="1"/>
    <col min="6" max="6" width="11.7109375" style="132" customWidth="1"/>
    <col min="7" max="8" width="9.140625" style="133"/>
    <col min="9" max="9" width="14.140625" style="132" customWidth="1"/>
    <col min="10" max="10" width="11.7109375" style="132" customWidth="1"/>
    <col min="11" max="12" width="9.140625" style="133"/>
    <col min="13" max="13" width="14.140625" style="132" customWidth="1"/>
    <col min="14" max="14" width="11.7109375" style="132" customWidth="1"/>
    <col min="15" max="16" width="9.140625" style="133"/>
    <col min="17" max="17" width="14.140625" style="132" customWidth="1"/>
    <col min="18" max="18" width="11.7109375" style="132" customWidth="1"/>
    <col min="19" max="20" width="9.140625" style="133"/>
    <col min="21" max="21" width="14.140625" style="132" customWidth="1"/>
    <col min="22" max="22" width="11.7109375" style="132" customWidth="1"/>
    <col min="23" max="24" width="9.140625" style="133"/>
    <col min="25" max="25" width="14.140625" style="132" customWidth="1"/>
    <col min="26" max="26" width="11.7109375" style="132" customWidth="1"/>
    <col min="27" max="16384" width="9.140625" style="133"/>
  </cols>
  <sheetData>
    <row r="1" spans="1:32">
      <c r="A1" s="131" t="s">
        <v>198</v>
      </c>
    </row>
    <row r="2" spans="1:32">
      <c r="A2" s="131" t="s">
        <v>199</v>
      </c>
    </row>
    <row r="4" spans="1:32">
      <c r="A4" s="131" t="s">
        <v>204</v>
      </c>
    </row>
    <row r="5" spans="1:32">
      <c r="A5" s="131" t="s">
        <v>242</v>
      </c>
    </row>
    <row r="6" spans="1:32">
      <c r="A6" s="131" t="s">
        <v>448</v>
      </c>
    </row>
    <row r="7" spans="1:32">
      <c r="A7" s="131"/>
    </row>
    <row r="10" spans="1:32">
      <c r="A10" s="134" t="s">
        <v>130</v>
      </c>
      <c r="B10" s="135"/>
      <c r="C10" s="134"/>
      <c r="D10" s="134" t="s">
        <v>27</v>
      </c>
      <c r="E10" s="135"/>
      <c r="F10" s="135"/>
      <c r="G10" s="134"/>
      <c r="H10" s="134" t="s">
        <v>28</v>
      </c>
      <c r="I10" s="135"/>
      <c r="J10" s="135"/>
      <c r="K10" s="134"/>
      <c r="L10" s="134" t="s">
        <v>29</v>
      </c>
      <c r="M10" s="135"/>
      <c r="N10" s="135"/>
      <c r="O10" s="134"/>
      <c r="P10" s="134" t="s">
        <v>30</v>
      </c>
      <c r="Q10" s="135"/>
      <c r="R10" s="135"/>
      <c r="S10" s="134"/>
      <c r="T10" s="134" t="s">
        <v>403</v>
      </c>
      <c r="U10" s="135"/>
      <c r="V10" s="135"/>
      <c r="X10" s="134" t="s">
        <v>286</v>
      </c>
      <c r="Y10" s="135"/>
      <c r="Z10" s="135"/>
    </row>
    <row r="11" spans="1:32" ht="25.5">
      <c r="A11" s="136" t="s">
        <v>4</v>
      </c>
      <c r="B11" s="137" t="s">
        <v>131</v>
      </c>
      <c r="D11" s="136" t="s">
        <v>4</v>
      </c>
      <c r="E11" s="137" t="s">
        <v>128</v>
      </c>
      <c r="F11" s="137" t="s">
        <v>129</v>
      </c>
      <c r="H11" s="136" t="s">
        <v>4</v>
      </c>
      <c r="I11" s="137" t="s">
        <v>128</v>
      </c>
      <c r="J11" s="137" t="s">
        <v>129</v>
      </c>
      <c r="L11" s="136" t="s">
        <v>4</v>
      </c>
      <c r="M11" s="137" t="s">
        <v>128</v>
      </c>
      <c r="N11" s="137" t="s">
        <v>129</v>
      </c>
      <c r="P11" s="136" t="s">
        <v>4</v>
      </c>
      <c r="Q11" s="137" t="s">
        <v>128</v>
      </c>
      <c r="R11" s="137" t="s">
        <v>129</v>
      </c>
      <c r="T11" s="136" t="s">
        <v>4</v>
      </c>
      <c r="U11" s="137" t="s">
        <v>128</v>
      </c>
      <c r="V11" s="137" t="s">
        <v>129</v>
      </c>
      <c r="X11" s="136" t="s">
        <v>4</v>
      </c>
      <c r="Y11" s="137" t="s">
        <v>128</v>
      </c>
      <c r="Z11" s="137" t="s">
        <v>129</v>
      </c>
    </row>
    <row r="12" spans="1:32">
      <c r="A12" s="138" t="s">
        <v>9</v>
      </c>
      <c r="B12" s="139"/>
      <c r="D12" s="436" t="str">
        <f>$A$12</f>
        <v>Lower Chord Members</v>
      </c>
      <c r="E12" s="437"/>
      <c r="F12" s="438"/>
      <c r="H12" s="436" t="str">
        <f>$A$12</f>
        <v>Lower Chord Members</v>
      </c>
      <c r="I12" s="437"/>
      <c r="J12" s="438"/>
      <c r="L12" s="436" t="str">
        <f>$A$12</f>
        <v>Lower Chord Members</v>
      </c>
      <c r="M12" s="437"/>
      <c r="N12" s="438"/>
      <c r="P12" s="436" t="str">
        <f>$A$12</f>
        <v>Lower Chord Members</v>
      </c>
      <c r="Q12" s="437"/>
      <c r="R12" s="438"/>
      <c r="T12" s="436" t="str">
        <f>$A$12</f>
        <v>Lower Chord Members</v>
      </c>
      <c r="U12" s="437"/>
      <c r="V12" s="438"/>
      <c r="X12" s="436" t="str">
        <f>$A$12</f>
        <v>Lower Chord Members</v>
      </c>
      <c r="Y12" s="437"/>
      <c r="Z12" s="438"/>
    </row>
    <row r="13" spans="1:32" s="157" customFormat="1">
      <c r="A13" s="158"/>
      <c r="B13" s="291"/>
      <c r="C13"/>
      <c r="D13" s="158"/>
      <c r="E13" s="291"/>
      <c r="F13" s="291"/>
      <c r="G13"/>
      <c r="H13" s="158"/>
      <c r="I13" s="291"/>
      <c r="J13" s="291"/>
      <c r="K13"/>
      <c r="L13" s="158"/>
      <c r="M13" s="291"/>
      <c r="N13" s="291"/>
      <c r="O13"/>
      <c r="P13" s="158"/>
      <c r="Q13" s="291"/>
      <c r="R13" s="291"/>
      <c r="S13"/>
      <c r="T13" s="158"/>
      <c r="U13" s="291"/>
      <c r="V13" s="291"/>
      <c r="W13"/>
      <c r="X13" s="158"/>
      <c r="Y13" s="291"/>
      <c r="Z13" s="291"/>
      <c r="AA13"/>
      <c r="AB13" s="133"/>
      <c r="AC13" s="133"/>
      <c r="AD13" s="133"/>
      <c r="AE13" s="122"/>
      <c r="AF13" s="122"/>
    </row>
    <row r="14" spans="1:32" s="157" customFormat="1">
      <c r="A14" s="158"/>
      <c r="B14" s="291"/>
      <c r="C14"/>
      <c r="D14" s="158"/>
      <c r="E14" s="291"/>
      <c r="F14" s="291"/>
      <c r="G14"/>
      <c r="H14" s="158"/>
      <c r="I14" s="291"/>
      <c r="J14" s="291"/>
      <c r="K14"/>
      <c r="L14" s="158"/>
      <c r="M14" s="291"/>
      <c r="N14" s="291"/>
      <c r="O14"/>
      <c r="P14" s="158"/>
      <c r="Q14" s="291"/>
      <c r="R14" s="291"/>
      <c r="S14"/>
      <c r="T14" s="158"/>
      <c r="U14" s="291"/>
      <c r="V14" s="291"/>
      <c r="W14"/>
      <c r="X14" s="158"/>
      <c r="Y14" s="291"/>
      <c r="Z14" s="291"/>
      <c r="AA14"/>
      <c r="AB14" s="133"/>
      <c r="AC14" s="133"/>
      <c r="AD14" s="133"/>
      <c r="AE14" s="122"/>
      <c r="AF14" s="122"/>
    </row>
    <row r="15" spans="1:32" s="157" customFormat="1">
      <c r="A15" s="158"/>
      <c r="B15" s="291"/>
      <c r="C15"/>
      <c r="D15" s="158"/>
      <c r="E15" s="291"/>
      <c r="F15" s="291"/>
      <c r="G15"/>
      <c r="H15" s="158"/>
      <c r="I15" s="291"/>
      <c r="J15" s="291"/>
      <c r="K15"/>
      <c r="L15" s="158"/>
      <c r="M15" s="291"/>
      <c r="N15" s="291"/>
      <c r="O15"/>
      <c r="P15" s="158"/>
      <c r="Q15" s="291"/>
      <c r="R15" s="291"/>
      <c r="S15"/>
      <c r="T15" s="158"/>
      <c r="U15" s="291"/>
      <c r="V15" s="291"/>
      <c r="W15"/>
      <c r="X15" s="158"/>
      <c r="Y15" s="291"/>
      <c r="Z15" s="291"/>
      <c r="AA15"/>
      <c r="AB15" s="133"/>
      <c r="AC15" s="133"/>
      <c r="AD15" s="133"/>
    </row>
    <row r="16" spans="1:32" s="157" customFormat="1">
      <c r="A16" s="158"/>
      <c r="B16" s="291"/>
      <c r="C16"/>
      <c r="D16" s="158"/>
      <c r="E16" s="291"/>
      <c r="F16" s="291"/>
      <c r="G16"/>
      <c r="H16" s="158"/>
      <c r="I16" s="291"/>
      <c r="J16" s="291"/>
      <c r="K16"/>
      <c r="L16" s="158"/>
      <c r="M16" s="291"/>
      <c r="N16" s="291"/>
      <c r="O16"/>
      <c r="P16" s="158"/>
      <c r="Q16" s="291"/>
      <c r="R16" s="291"/>
      <c r="S16"/>
      <c r="T16" s="158"/>
      <c r="U16" s="291"/>
      <c r="V16" s="291"/>
      <c r="W16"/>
      <c r="X16" s="158"/>
      <c r="Y16" s="291"/>
      <c r="Z16" s="291"/>
      <c r="AA16"/>
      <c r="AB16" s="133"/>
      <c r="AC16" s="133"/>
      <c r="AD16" s="133"/>
      <c r="AE16" s="122"/>
    </row>
    <row r="17" spans="1:30" s="157" customFormat="1">
      <c r="A17" s="158"/>
      <c r="B17" s="291"/>
      <c r="C17"/>
      <c r="D17" s="158"/>
      <c r="E17" s="291"/>
      <c r="F17" s="291"/>
      <c r="G17"/>
      <c r="H17" s="158"/>
      <c r="I17" s="291"/>
      <c r="J17" s="291"/>
      <c r="K17"/>
      <c r="L17" s="158"/>
      <c r="M17" s="291"/>
      <c r="N17" s="291"/>
      <c r="O17"/>
      <c r="P17" s="158"/>
      <c r="Q17" s="291"/>
      <c r="R17" s="291"/>
      <c r="S17"/>
      <c r="T17" s="158"/>
      <c r="U17" s="291"/>
      <c r="V17" s="291"/>
      <c r="W17"/>
      <c r="X17" s="158"/>
      <c r="Y17" s="291"/>
      <c r="Z17" s="291"/>
      <c r="AA17"/>
      <c r="AB17" s="133"/>
      <c r="AC17" s="133"/>
      <c r="AD17" s="133"/>
    </row>
    <row r="18" spans="1:30" s="157" customFormat="1" ht="14.25">
      <c r="A18" s="292" t="s">
        <v>450</v>
      </c>
      <c r="B18" s="293"/>
      <c r="C18"/>
      <c r="D18" s="292" t="s">
        <v>450</v>
      </c>
      <c r="E18" s="293"/>
      <c r="F18" s="293"/>
      <c r="G18"/>
      <c r="H18" s="292" t="s">
        <v>450</v>
      </c>
      <c r="I18" s="293"/>
      <c r="J18" s="293"/>
      <c r="K18"/>
      <c r="L18" s="292" t="s">
        <v>450</v>
      </c>
      <c r="M18" s="293"/>
      <c r="N18" s="293"/>
      <c r="O18"/>
      <c r="P18" s="292" t="s">
        <v>450</v>
      </c>
      <c r="Q18" s="293"/>
      <c r="R18" s="293"/>
      <c r="S18"/>
      <c r="T18" s="292" t="s">
        <v>450</v>
      </c>
      <c r="U18" s="293"/>
      <c r="V18" s="293"/>
      <c r="W18"/>
      <c r="X18" s="292" t="s">
        <v>450</v>
      </c>
      <c r="Y18" s="293"/>
      <c r="Z18" s="293"/>
      <c r="AA18"/>
      <c r="AB18" s="133"/>
      <c r="AC18" s="133"/>
      <c r="AD18" s="133"/>
    </row>
    <row r="19" spans="1:30" customFormat="1">
      <c r="A19" s="158"/>
      <c r="B19" s="291"/>
      <c r="D19" s="158"/>
      <c r="E19" s="291"/>
      <c r="F19" s="291"/>
      <c r="H19" s="158"/>
      <c r="I19" s="291"/>
      <c r="J19" s="291"/>
      <c r="L19" s="158"/>
      <c r="M19" s="291"/>
      <c r="N19" s="291"/>
      <c r="P19" s="158"/>
      <c r="Q19" s="291"/>
      <c r="R19" s="291"/>
      <c r="T19" s="158"/>
      <c r="U19" s="291"/>
      <c r="V19" s="291"/>
      <c r="X19" s="158"/>
      <c r="Y19" s="291"/>
      <c r="Z19" s="291"/>
      <c r="AB19" s="133"/>
      <c r="AC19" s="133"/>
      <c r="AD19" s="133"/>
    </row>
    <row r="20" spans="1:30" s="122" customFormat="1">
      <c r="A20" s="158"/>
      <c r="B20" s="291"/>
      <c r="C20"/>
      <c r="D20" s="158"/>
      <c r="E20" s="291"/>
      <c r="F20" s="291"/>
      <c r="G20"/>
      <c r="H20" s="158"/>
      <c r="I20" s="291"/>
      <c r="J20" s="291"/>
      <c r="K20"/>
      <c r="L20" s="158"/>
      <c r="M20" s="291"/>
      <c r="N20" s="291"/>
      <c r="O20"/>
      <c r="P20" s="158"/>
      <c r="Q20" s="291"/>
      <c r="R20" s="291"/>
      <c r="S20"/>
      <c r="T20" s="158"/>
      <c r="U20" s="291"/>
      <c r="V20" s="291"/>
      <c r="W20"/>
      <c r="X20" s="158"/>
      <c r="Y20" s="291"/>
      <c r="Z20" s="291"/>
      <c r="AA20"/>
      <c r="AB20" s="133"/>
      <c r="AC20" s="133"/>
      <c r="AD20" s="133"/>
    </row>
    <row r="21" spans="1:30" s="122" customFormat="1">
      <c r="A21" s="158"/>
      <c r="B21" s="291"/>
      <c r="C21"/>
      <c r="D21" s="158"/>
      <c r="E21" s="291"/>
      <c r="F21" s="291"/>
      <c r="G21"/>
      <c r="H21" s="158"/>
      <c r="I21" s="291"/>
      <c r="J21" s="291"/>
      <c r="K21"/>
      <c r="L21" s="158"/>
      <c r="M21" s="291"/>
      <c r="N21" s="291"/>
      <c r="O21"/>
      <c r="P21" s="158"/>
      <c r="Q21" s="291"/>
      <c r="R21" s="291"/>
      <c r="S21"/>
      <c r="T21" s="158"/>
      <c r="U21" s="291"/>
      <c r="V21" s="291"/>
      <c r="W21"/>
      <c r="X21" s="158"/>
      <c r="Y21" s="291"/>
      <c r="Z21" s="291"/>
      <c r="AA21"/>
      <c r="AB21" s="133"/>
      <c r="AC21" s="133"/>
      <c r="AD21" s="133"/>
    </row>
    <row r="22" spans="1:30" s="122" customFormat="1">
      <c r="A22" s="158"/>
      <c r="B22" s="291"/>
      <c r="C22"/>
      <c r="D22" s="158"/>
      <c r="E22" s="291"/>
      <c r="F22" s="291"/>
      <c r="G22"/>
      <c r="H22" s="158"/>
      <c r="I22" s="291"/>
      <c r="J22" s="291"/>
      <c r="K22"/>
      <c r="L22" s="158"/>
      <c r="M22" s="291"/>
      <c r="N22" s="291"/>
      <c r="O22"/>
      <c r="P22" s="158"/>
      <c r="Q22" s="291"/>
      <c r="R22" s="291"/>
      <c r="S22"/>
      <c r="T22" s="158"/>
      <c r="U22" s="291"/>
      <c r="V22" s="291"/>
      <c r="W22"/>
      <c r="X22" s="158"/>
      <c r="Y22" s="291"/>
      <c r="Z22" s="291"/>
      <c r="AA22"/>
      <c r="AB22" s="133"/>
      <c r="AC22" s="133"/>
      <c r="AD22" s="133"/>
    </row>
    <row r="23" spans="1:30" s="122" customFormat="1">
      <c r="A23" s="294" t="s">
        <v>22</v>
      </c>
      <c r="B23" s="293"/>
      <c r="C23"/>
      <c r="D23" s="294" t="s">
        <v>22</v>
      </c>
      <c r="E23" s="293"/>
      <c r="F23" s="293"/>
      <c r="G23"/>
      <c r="H23" s="294" t="s">
        <v>22</v>
      </c>
      <c r="I23" s="293"/>
      <c r="J23" s="293"/>
      <c r="K23"/>
      <c r="L23" s="294" t="s">
        <v>22</v>
      </c>
      <c r="M23" s="293"/>
      <c r="N23" s="293"/>
      <c r="O23"/>
      <c r="P23" s="294" t="s">
        <v>22</v>
      </c>
      <c r="Q23" s="293"/>
      <c r="R23" s="293"/>
      <c r="S23"/>
      <c r="T23" s="294" t="s">
        <v>22</v>
      </c>
      <c r="U23" s="293"/>
      <c r="V23" s="293"/>
      <c r="W23"/>
      <c r="X23" s="294" t="s">
        <v>22</v>
      </c>
      <c r="Y23" s="293"/>
      <c r="Z23" s="293"/>
      <c r="AA23"/>
      <c r="AB23" s="133"/>
      <c r="AC23" s="133"/>
      <c r="AD23" s="133"/>
    </row>
    <row r="24" spans="1:30" s="157" customFormat="1">
      <c r="A24" s="158"/>
      <c r="B24" s="291"/>
      <c r="C24"/>
      <c r="D24" s="158"/>
      <c r="E24" s="291"/>
      <c r="F24" s="291"/>
      <c r="G24"/>
      <c r="H24" s="158"/>
      <c r="I24" s="291"/>
      <c r="J24" s="291"/>
      <c r="K24"/>
      <c r="L24" s="158"/>
      <c r="M24" s="291"/>
      <c r="N24" s="291"/>
      <c r="O24"/>
      <c r="P24" s="158"/>
      <c r="Q24" s="291"/>
      <c r="R24" s="291"/>
      <c r="S24"/>
      <c r="T24" s="158"/>
      <c r="U24" s="291"/>
      <c r="V24" s="291"/>
      <c r="W24"/>
      <c r="X24" s="158"/>
      <c r="Y24" s="291"/>
      <c r="Z24" s="291"/>
      <c r="AA24"/>
      <c r="AB24" s="133"/>
      <c r="AC24" s="133"/>
      <c r="AD24" s="133"/>
    </row>
    <row r="25" spans="1:30" s="157" customFormat="1">
      <c r="A25" s="158"/>
      <c r="B25" s="291"/>
      <c r="C25"/>
      <c r="D25" s="158"/>
      <c r="E25" s="291"/>
      <c r="F25" s="291"/>
      <c r="G25"/>
      <c r="H25" s="158"/>
      <c r="I25" s="291"/>
      <c r="J25" s="291"/>
      <c r="K25"/>
      <c r="L25" s="158"/>
      <c r="M25" s="291"/>
      <c r="N25" s="291"/>
      <c r="O25"/>
      <c r="P25" s="158"/>
      <c r="Q25" s="291"/>
      <c r="R25" s="291"/>
      <c r="S25"/>
      <c r="T25" s="158"/>
      <c r="U25" s="291"/>
      <c r="V25" s="291"/>
      <c r="W25"/>
      <c r="X25" s="158"/>
      <c r="Y25" s="291"/>
      <c r="Z25" s="291"/>
      <c r="AA25"/>
      <c r="AB25" s="133"/>
      <c r="AC25" s="133"/>
      <c r="AD25" s="133"/>
    </row>
    <row r="26" spans="1:30" s="157" customFormat="1">
      <c r="A26" s="158"/>
      <c r="B26" s="291"/>
      <c r="C26"/>
      <c r="D26" s="158"/>
      <c r="E26" s="291"/>
      <c r="F26" s="291"/>
      <c r="G26"/>
      <c r="H26" s="158"/>
      <c r="I26" s="291"/>
      <c r="J26" s="291"/>
      <c r="K26"/>
      <c r="L26" s="158"/>
      <c r="M26" s="291"/>
      <c r="N26" s="291"/>
      <c r="O26"/>
      <c r="P26" s="158"/>
      <c r="Q26" s="291"/>
      <c r="R26" s="291"/>
      <c r="S26"/>
      <c r="T26" s="158"/>
      <c r="U26" s="291"/>
      <c r="V26" s="291"/>
      <c r="W26"/>
      <c r="X26" s="158"/>
      <c r="Y26" s="291"/>
      <c r="Z26" s="291"/>
      <c r="AA26"/>
      <c r="AB26" s="133"/>
      <c r="AC26" s="133"/>
      <c r="AD26" s="133"/>
    </row>
    <row r="27" spans="1:30" s="157" customFormat="1">
      <c r="A27" s="158"/>
      <c r="B27" s="291"/>
      <c r="C27"/>
      <c r="D27" s="158"/>
      <c r="E27" s="291"/>
      <c r="F27" s="291"/>
      <c r="G27"/>
      <c r="H27" s="158"/>
      <c r="I27" s="291"/>
      <c r="J27" s="291"/>
      <c r="K27"/>
      <c r="L27" s="158"/>
      <c r="M27" s="291"/>
      <c r="N27" s="291"/>
      <c r="O27"/>
      <c r="P27" s="158"/>
      <c r="Q27" s="291"/>
      <c r="R27" s="291"/>
      <c r="S27"/>
      <c r="T27" s="158"/>
      <c r="U27" s="291"/>
      <c r="V27" s="291"/>
      <c r="W27"/>
      <c r="X27" s="158"/>
      <c r="Y27" s="291"/>
      <c r="Z27" s="291"/>
      <c r="AA27"/>
      <c r="AB27" s="133"/>
      <c r="AC27" s="133"/>
      <c r="AD27" s="133"/>
    </row>
    <row r="28" spans="1:30" s="157" customFormat="1">
      <c r="A28" s="158"/>
      <c r="B28" s="291"/>
      <c r="C28"/>
      <c r="D28" s="158"/>
      <c r="E28" s="291"/>
      <c r="F28" s="291"/>
      <c r="G28"/>
      <c r="H28" s="158"/>
      <c r="I28" s="291"/>
      <c r="J28" s="291"/>
      <c r="K28"/>
      <c r="L28" s="158"/>
      <c r="M28" s="291"/>
      <c r="N28" s="291"/>
      <c r="O28"/>
      <c r="P28" s="158"/>
      <c r="Q28" s="291"/>
      <c r="R28" s="291"/>
      <c r="S28"/>
      <c r="T28" s="158"/>
      <c r="U28" s="291"/>
      <c r="V28" s="291"/>
      <c r="W28"/>
      <c r="X28" s="158"/>
      <c r="Y28" s="291"/>
      <c r="Z28" s="291"/>
      <c r="AA28"/>
      <c r="AB28" s="133"/>
      <c r="AC28" s="133"/>
      <c r="AD28" s="133"/>
    </row>
    <row r="29" spans="1:30" s="157" customFormat="1">
      <c r="A29" s="294" t="s">
        <v>451</v>
      </c>
      <c r="B29" s="293"/>
      <c r="C29"/>
      <c r="D29" s="294" t="s">
        <v>451</v>
      </c>
      <c r="E29" s="293"/>
      <c r="F29" s="293"/>
      <c r="G29"/>
      <c r="H29" s="294" t="s">
        <v>451</v>
      </c>
      <c r="I29" s="293"/>
      <c r="J29" s="293"/>
      <c r="K29"/>
      <c r="L29" s="294" t="s">
        <v>451</v>
      </c>
      <c r="M29" s="293"/>
      <c r="N29" s="293"/>
      <c r="O29"/>
      <c r="P29" s="294" t="s">
        <v>451</v>
      </c>
      <c r="Q29" s="293"/>
      <c r="R29" s="293"/>
      <c r="S29"/>
      <c r="T29" s="294" t="s">
        <v>451</v>
      </c>
      <c r="U29" s="293"/>
      <c r="V29" s="293"/>
      <c r="W29"/>
      <c r="X29" s="294" t="s">
        <v>451</v>
      </c>
      <c r="Y29" s="293"/>
      <c r="Z29" s="293"/>
      <c r="AA29"/>
      <c r="AB29" s="133"/>
      <c r="AC29" s="133"/>
      <c r="AD29" s="133"/>
    </row>
    <row r="30" spans="1:30" s="157" customFormat="1">
      <c r="A30" s="158"/>
      <c r="B30" s="291"/>
      <c r="C30"/>
      <c r="D30" s="158"/>
      <c r="E30" s="291"/>
      <c r="F30" s="291"/>
      <c r="G30"/>
      <c r="H30" s="158"/>
      <c r="I30" s="291"/>
      <c r="J30" s="291"/>
      <c r="K30"/>
      <c r="L30" s="158"/>
      <c r="M30" s="291"/>
      <c r="N30" s="291"/>
      <c r="O30"/>
      <c r="P30" s="158"/>
      <c r="Q30" s="291"/>
      <c r="R30" s="291"/>
      <c r="S30"/>
      <c r="T30" s="158"/>
      <c r="U30" s="291"/>
      <c r="V30" s="291"/>
      <c r="W30"/>
      <c r="X30" s="158"/>
      <c r="Y30" s="291"/>
      <c r="Z30" s="291"/>
      <c r="AA30"/>
      <c r="AB30" s="133"/>
      <c r="AC30" s="133"/>
      <c r="AD30" s="133"/>
    </row>
    <row r="31" spans="1:30" s="157" customFormat="1">
      <c r="A31" s="158"/>
      <c r="B31" s="291"/>
      <c r="C31"/>
      <c r="D31" s="158"/>
      <c r="E31" s="291"/>
      <c r="F31" s="291"/>
      <c r="G31"/>
      <c r="H31" s="158"/>
      <c r="I31" s="291"/>
      <c r="J31" s="291"/>
      <c r="K31"/>
      <c r="L31" s="158"/>
      <c r="M31" s="291"/>
      <c r="N31" s="291"/>
      <c r="O31"/>
      <c r="P31" s="158"/>
      <c r="Q31" s="291"/>
      <c r="R31" s="291"/>
      <c r="S31"/>
      <c r="T31" s="158"/>
      <c r="U31" s="291"/>
      <c r="V31" s="291"/>
      <c r="W31"/>
      <c r="X31" s="158"/>
      <c r="Y31" s="291"/>
      <c r="Z31" s="291"/>
      <c r="AA31"/>
      <c r="AB31" s="133"/>
      <c r="AC31" s="133"/>
      <c r="AD31" s="133"/>
    </row>
    <row r="32" spans="1:30" s="157" customFormat="1">
      <c r="A32" s="158"/>
      <c r="B32" s="291"/>
      <c r="C32"/>
      <c r="D32" s="158"/>
      <c r="E32" s="291"/>
      <c r="F32" s="291"/>
      <c r="G32"/>
      <c r="H32" s="158"/>
      <c r="I32" s="291"/>
      <c r="J32" s="291"/>
      <c r="K32"/>
      <c r="L32" s="158"/>
      <c r="M32" s="291"/>
      <c r="N32" s="291"/>
      <c r="O32"/>
      <c r="P32" s="158"/>
      <c r="Q32" s="291"/>
      <c r="R32" s="291"/>
      <c r="S32"/>
      <c r="T32" s="158"/>
      <c r="U32" s="291"/>
      <c r="V32" s="291"/>
      <c r="W32"/>
      <c r="X32" s="158"/>
      <c r="Y32" s="291"/>
      <c r="Z32" s="291"/>
      <c r="AA32"/>
      <c r="AB32" s="133"/>
      <c r="AC32" s="133"/>
      <c r="AD32" s="133"/>
    </row>
    <row r="33" spans="1:30" s="157" customFormat="1">
      <c r="A33" s="158"/>
      <c r="B33" s="291"/>
      <c r="C33"/>
      <c r="D33" s="158"/>
      <c r="E33" s="291"/>
      <c r="F33" s="291"/>
      <c r="G33"/>
      <c r="H33" s="158"/>
      <c r="I33" s="291"/>
      <c r="J33" s="291"/>
      <c r="K33"/>
      <c r="L33" s="158"/>
      <c r="M33" s="291"/>
      <c r="N33" s="291"/>
      <c r="O33"/>
      <c r="P33" s="158"/>
      <c r="Q33" s="291"/>
      <c r="R33" s="291"/>
      <c r="S33"/>
      <c r="T33" s="158"/>
      <c r="U33" s="291"/>
      <c r="V33" s="291"/>
      <c r="W33"/>
      <c r="X33" s="158"/>
      <c r="Y33" s="291"/>
      <c r="Z33" s="291"/>
      <c r="AA33"/>
      <c r="AB33" s="133"/>
      <c r="AC33" s="133"/>
      <c r="AD33" s="133"/>
    </row>
    <row r="34" spans="1:30" s="157" customFormat="1">
      <c r="A34" s="158"/>
      <c r="B34" s="291"/>
      <c r="C34"/>
      <c r="D34" s="158"/>
      <c r="E34" s="291"/>
      <c r="F34" s="291"/>
      <c r="G34"/>
      <c r="H34" s="158"/>
      <c r="I34" s="291"/>
      <c r="J34" s="291"/>
      <c r="K34"/>
      <c r="L34" s="158"/>
      <c r="M34" s="291"/>
      <c r="N34" s="291"/>
      <c r="O34"/>
      <c r="P34" s="158"/>
      <c r="Q34" s="291"/>
      <c r="R34" s="291"/>
      <c r="S34"/>
      <c r="T34" s="158"/>
      <c r="U34" s="291"/>
      <c r="V34" s="291"/>
      <c r="W34"/>
      <c r="X34" s="158"/>
      <c r="Y34" s="291"/>
      <c r="Z34" s="291"/>
      <c r="AA34"/>
      <c r="AB34" s="133"/>
      <c r="AC34" s="133"/>
      <c r="AD34" s="133"/>
    </row>
    <row r="35" spans="1:30" s="157" customFormat="1">
      <c r="A35" s="158"/>
      <c r="B35" s="291"/>
      <c r="C35"/>
      <c r="D35" s="158"/>
      <c r="E35" s="291"/>
      <c r="F35" s="291"/>
      <c r="G35"/>
      <c r="H35" s="158"/>
      <c r="I35" s="291"/>
      <c r="J35" s="291"/>
      <c r="K35"/>
      <c r="L35" s="158"/>
      <c r="M35" s="291"/>
      <c r="N35" s="291"/>
      <c r="O35"/>
      <c r="P35" s="158"/>
      <c r="Q35" s="291"/>
      <c r="R35" s="291"/>
      <c r="S35"/>
      <c r="T35" s="158"/>
      <c r="U35" s="291"/>
      <c r="V35" s="291"/>
      <c r="W35"/>
      <c r="X35" s="158"/>
      <c r="Y35" s="291"/>
      <c r="Z35" s="291"/>
      <c r="AA35"/>
      <c r="AB35" s="133"/>
      <c r="AC35" s="133"/>
      <c r="AD35" s="133"/>
    </row>
    <row r="36" spans="1:30" s="157" customFormat="1">
      <c r="A36" s="158"/>
      <c r="B36" s="291"/>
      <c r="C36"/>
      <c r="D36" s="158"/>
      <c r="E36" s="291"/>
      <c r="F36" s="291"/>
      <c r="G36"/>
      <c r="H36" s="158"/>
      <c r="I36" s="291"/>
      <c r="J36" s="291"/>
      <c r="K36"/>
      <c r="L36" s="158"/>
      <c r="M36" s="291"/>
      <c r="N36" s="291"/>
      <c r="O36"/>
      <c r="P36" s="158"/>
      <c r="Q36" s="291"/>
      <c r="R36" s="291"/>
      <c r="S36"/>
      <c r="T36" s="158"/>
      <c r="U36" s="291"/>
      <c r="V36" s="291"/>
      <c r="W36"/>
      <c r="X36" s="158"/>
      <c r="Y36" s="291"/>
      <c r="Z36" s="291"/>
      <c r="AA36"/>
      <c r="AB36" s="133"/>
      <c r="AC36" s="133"/>
      <c r="AD36" s="133"/>
    </row>
    <row r="37" spans="1:30" s="122" customFormat="1">
      <c r="A37" s="158"/>
      <c r="B37" s="291"/>
      <c r="C37"/>
      <c r="D37" s="158"/>
      <c r="E37" s="291"/>
      <c r="F37" s="291"/>
      <c r="G37"/>
      <c r="H37" s="158"/>
      <c r="I37" s="291"/>
      <c r="J37" s="291"/>
      <c r="K37"/>
      <c r="L37" s="158"/>
      <c r="M37" s="291"/>
      <c r="N37" s="291"/>
      <c r="O37"/>
      <c r="P37" s="158"/>
      <c r="Q37" s="291"/>
      <c r="R37" s="291"/>
      <c r="S37"/>
      <c r="T37" s="158"/>
      <c r="U37" s="291"/>
      <c r="V37" s="291"/>
      <c r="W37"/>
      <c r="X37" s="158"/>
      <c r="Y37" s="291"/>
      <c r="Z37" s="291"/>
      <c r="AA37"/>
      <c r="AB37" s="133"/>
      <c r="AC37" s="133"/>
      <c r="AD37" s="133"/>
    </row>
    <row r="38" spans="1:30" s="122" customFormat="1" ht="14.25">
      <c r="A38" s="292"/>
      <c r="B38" s="295"/>
      <c r="C38"/>
      <c r="D38" s="292"/>
      <c r="E38" s="295"/>
      <c r="F38" s="295"/>
      <c r="G38"/>
      <c r="H38" s="292"/>
      <c r="I38" s="295"/>
      <c r="J38" s="295"/>
      <c r="K38"/>
      <c r="L38" s="292"/>
      <c r="M38" s="295"/>
      <c r="N38" s="295"/>
      <c r="O38"/>
      <c r="P38" s="292"/>
      <c r="Q38" s="295"/>
      <c r="R38" s="295"/>
      <c r="S38"/>
      <c r="T38" s="292"/>
      <c r="U38" s="295"/>
      <c r="V38" s="295"/>
      <c r="W38"/>
      <c r="X38" s="292"/>
      <c r="Y38" s="295"/>
      <c r="Z38" s="295"/>
      <c r="AA38"/>
      <c r="AB38" s="133"/>
      <c r="AC38" s="133"/>
      <c r="AD38" s="133"/>
    </row>
    <row r="39" spans="1:30" s="122" customFormat="1">
      <c r="A39" s="128"/>
      <c r="B39" s="128"/>
      <c r="D39" s="128"/>
      <c r="E39" s="128"/>
      <c r="F39" s="128"/>
      <c r="H39" s="128"/>
      <c r="I39" s="128"/>
      <c r="J39" s="128"/>
      <c r="L39" s="128"/>
      <c r="M39" s="128"/>
      <c r="N39" s="128"/>
      <c r="P39" s="128"/>
      <c r="Q39" s="128"/>
      <c r="R39" s="128"/>
      <c r="T39" s="128"/>
      <c r="U39" s="128"/>
      <c r="V39" s="128"/>
      <c r="X39" s="128"/>
      <c r="Y39" s="128"/>
      <c r="Z39" s="128"/>
      <c r="AB39" s="133"/>
      <c r="AC39" s="133"/>
      <c r="AD39" s="133"/>
    </row>
    <row r="40" spans="1:30" s="122" customFormat="1">
      <c r="A40" s="128"/>
      <c r="B40" s="128"/>
      <c r="D40" s="128"/>
      <c r="E40" s="128"/>
      <c r="F40" s="159"/>
      <c r="H40" s="128"/>
      <c r="I40" s="128"/>
      <c r="J40" s="159"/>
      <c r="L40" s="128"/>
      <c r="M40" s="128"/>
      <c r="N40" s="159"/>
      <c r="P40" s="128"/>
      <c r="Q40" s="128"/>
      <c r="R40" s="159"/>
      <c r="T40" s="128"/>
      <c r="U40" s="128"/>
      <c r="V40" s="159"/>
      <c r="X40" s="128"/>
      <c r="Y40" s="128"/>
      <c r="Z40" s="159"/>
      <c r="AB40" s="133"/>
      <c r="AC40" s="133"/>
      <c r="AD40" s="133"/>
    </row>
    <row r="41" spans="1:30" s="122" customFormat="1">
      <c r="A41" s="128"/>
      <c r="B41" s="128"/>
      <c r="D41" s="128"/>
      <c r="E41" s="128"/>
      <c r="F41" s="159"/>
      <c r="H41" s="128"/>
      <c r="I41" s="128"/>
      <c r="J41" s="159"/>
      <c r="L41" s="128"/>
      <c r="M41" s="128"/>
      <c r="N41" s="159"/>
      <c r="P41" s="128"/>
      <c r="Q41" s="128"/>
      <c r="R41" s="159"/>
      <c r="T41" s="128"/>
      <c r="U41" s="128"/>
      <c r="V41" s="159"/>
      <c r="X41" s="128"/>
      <c r="Y41" s="128"/>
      <c r="Z41" s="159"/>
      <c r="AB41" s="133"/>
      <c r="AC41" s="133"/>
      <c r="AD41" s="133"/>
    </row>
    <row r="42" spans="1:30" s="122" customFormat="1">
      <c r="A42" s="128"/>
      <c r="B42" s="128"/>
      <c r="D42" s="128"/>
      <c r="E42" s="128"/>
      <c r="F42" s="159"/>
      <c r="H42" s="128"/>
      <c r="I42" s="128"/>
      <c r="J42" s="159"/>
      <c r="L42" s="128"/>
      <c r="M42" s="128"/>
      <c r="N42" s="159"/>
      <c r="P42" s="128"/>
      <c r="Q42" s="128"/>
      <c r="R42" s="159"/>
      <c r="T42" s="128"/>
      <c r="U42" s="128"/>
      <c r="V42" s="159"/>
      <c r="X42" s="128"/>
      <c r="Y42" s="128"/>
      <c r="Z42" s="159"/>
      <c r="AB42" s="133"/>
      <c r="AC42" s="133"/>
      <c r="AD42" s="133"/>
    </row>
    <row r="43" spans="1:30" s="122" customFormat="1">
      <c r="A43" s="128"/>
      <c r="B43" s="128"/>
      <c r="D43" s="128"/>
      <c r="E43" s="128"/>
      <c r="F43" s="128"/>
      <c r="H43" s="128"/>
      <c r="I43" s="128"/>
      <c r="J43" s="128"/>
      <c r="L43" s="128"/>
      <c r="M43" s="128"/>
      <c r="N43" s="128"/>
      <c r="P43" s="128"/>
      <c r="Q43" s="128"/>
      <c r="R43" s="128"/>
      <c r="T43" s="128"/>
      <c r="U43" s="128"/>
      <c r="V43" s="128"/>
      <c r="X43" s="128"/>
      <c r="Y43" s="128"/>
      <c r="Z43" s="128"/>
      <c r="AB43" s="133"/>
      <c r="AC43" s="133"/>
      <c r="AD43" s="133"/>
    </row>
    <row r="44" spans="1:30" s="122" customFormat="1">
      <c r="A44" s="128"/>
      <c r="B44" s="128"/>
      <c r="D44" s="128"/>
      <c r="E44" s="128"/>
      <c r="F44" s="128"/>
      <c r="H44" s="128"/>
      <c r="I44" s="128"/>
      <c r="J44" s="128"/>
      <c r="L44" s="128"/>
      <c r="M44" s="128"/>
      <c r="N44" s="128"/>
      <c r="P44" s="128"/>
      <c r="Q44" s="128"/>
      <c r="R44" s="128"/>
      <c r="T44" s="128"/>
      <c r="U44" s="128"/>
      <c r="V44" s="128"/>
      <c r="X44" s="128"/>
      <c r="Y44" s="128"/>
      <c r="Z44" s="128"/>
    </row>
    <row r="45" spans="1:30" s="122" customFormat="1">
      <c r="A45" s="128"/>
      <c r="B45" s="128"/>
      <c r="D45" s="128"/>
      <c r="E45" s="128"/>
      <c r="F45" s="128"/>
      <c r="H45" s="128"/>
      <c r="I45" s="128"/>
      <c r="J45" s="128"/>
      <c r="L45" s="128"/>
      <c r="M45" s="128"/>
      <c r="N45" s="128"/>
      <c r="P45" s="128"/>
      <c r="Q45" s="128"/>
      <c r="R45" s="128"/>
      <c r="T45" s="128"/>
      <c r="U45" s="128"/>
      <c r="V45" s="128"/>
      <c r="X45" s="128"/>
      <c r="Y45" s="128"/>
      <c r="Z45" s="128"/>
    </row>
    <row r="46" spans="1:30" s="122" customFormat="1">
      <c r="A46" s="128"/>
      <c r="B46" s="128"/>
      <c r="D46" s="128"/>
      <c r="E46" s="128"/>
      <c r="F46" s="128"/>
      <c r="H46" s="128"/>
      <c r="I46" s="128"/>
      <c r="J46" s="128"/>
      <c r="L46" s="128"/>
      <c r="M46" s="128"/>
      <c r="N46" s="128"/>
      <c r="P46" s="128"/>
      <c r="Q46" s="128"/>
      <c r="R46" s="128"/>
      <c r="T46" s="128"/>
      <c r="U46" s="128"/>
      <c r="V46" s="128"/>
      <c r="X46" s="128"/>
      <c r="Y46" s="128"/>
      <c r="Z46" s="128"/>
    </row>
    <row r="47" spans="1:30" s="122" customFormat="1">
      <c r="A47" s="128"/>
      <c r="B47" s="128"/>
      <c r="D47" s="128"/>
      <c r="E47" s="128"/>
      <c r="F47" s="128"/>
      <c r="H47" s="128"/>
      <c r="I47" s="128"/>
      <c r="J47" s="128"/>
      <c r="L47" s="128"/>
      <c r="M47" s="128"/>
      <c r="N47" s="128"/>
      <c r="P47" s="128"/>
      <c r="Q47" s="128"/>
      <c r="R47" s="128"/>
      <c r="T47" s="128"/>
      <c r="U47" s="128"/>
      <c r="V47" s="128"/>
      <c r="X47" s="128"/>
      <c r="Y47" s="128"/>
      <c r="Z47" s="128"/>
    </row>
    <row r="48" spans="1:30" s="122" customFormat="1">
      <c r="A48" s="159"/>
      <c r="B48" s="159"/>
      <c r="C48" s="157"/>
      <c r="D48" s="159"/>
      <c r="E48" s="159"/>
      <c r="F48" s="159"/>
      <c r="G48" s="157"/>
      <c r="H48" s="159"/>
      <c r="I48" s="159"/>
      <c r="J48" s="159"/>
      <c r="K48" s="157"/>
      <c r="L48" s="159"/>
      <c r="M48" s="159"/>
      <c r="N48" s="159"/>
      <c r="O48" s="157"/>
      <c r="P48" s="159"/>
      <c r="Q48" s="159"/>
      <c r="R48" s="159"/>
      <c r="S48" s="157"/>
      <c r="T48" s="159"/>
      <c r="U48" s="159"/>
      <c r="V48" s="159"/>
      <c r="W48" s="157"/>
      <c r="X48" s="159"/>
      <c r="Y48" s="159"/>
      <c r="Z48" s="159"/>
    </row>
    <row r="49" spans="1:26" s="122" customFormat="1">
      <c r="A49" s="128"/>
      <c r="B49" s="128"/>
      <c r="D49" s="128"/>
      <c r="E49" s="128"/>
      <c r="F49" s="128"/>
      <c r="H49" s="128"/>
      <c r="I49" s="128"/>
      <c r="J49" s="128"/>
      <c r="L49" s="128"/>
      <c r="M49" s="128"/>
      <c r="N49" s="128"/>
      <c r="P49" s="128"/>
      <c r="Q49" s="128"/>
      <c r="R49" s="128"/>
      <c r="T49" s="128"/>
      <c r="U49" s="128"/>
      <c r="V49" s="128"/>
      <c r="X49" s="128"/>
      <c r="Y49" s="128"/>
      <c r="Z49" s="128"/>
    </row>
    <row r="50" spans="1:26" s="122" customFormat="1">
      <c r="A50" s="128"/>
      <c r="B50" s="128"/>
      <c r="D50" s="128"/>
      <c r="E50" s="128"/>
      <c r="F50" s="128"/>
      <c r="H50" s="128"/>
      <c r="I50" s="128"/>
      <c r="J50" s="128"/>
      <c r="L50" s="128"/>
      <c r="M50" s="128"/>
      <c r="N50" s="128"/>
      <c r="P50" s="128"/>
      <c r="Q50" s="128"/>
      <c r="R50" s="128"/>
      <c r="T50" s="128"/>
      <c r="U50" s="128"/>
      <c r="V50" s="128"/>
      <c r="X50" s="128"/>
      <c r="Y50" s="128"/>
      <c r="Z50" s="128"/>
    </row>
    <row r="51" spans="1:26" s="122" customFormat="1">
      <c r="A51" s="128"/>
      <c r="B51" s="128"/>
      <c r="D51" s="128"/>
      <c r="E51" s="128"/>
      <c r="F51" s="128"/>
      <c r="H51" s="128"/>
      <c r="I51" s="128"/>
      <c r="J51" s="128"/>
      <c r="L51" s="128"/>
      <c r="M51" s="128"/>
      <c r="N51" s="128"/>
      <c r="P51" s="128"/>
      <c r="Q51" s="128"/>
      <c r="R51" s="128"/>
      <c r="T51" s="128"/>
      <c r="U51" s="128"/>
      <c r="V51" s="128"/>
      <c r="X51" s="128"/>
      <c r="Y51" s="128"/>
      <c r="Z51" s="128"/>
    </row>
    <row r="52" spans="1:26" s="122" customFormat="1">
      <c r="A52" s="128"/>
      <c r="B52" s="128"/>
      <c r="D52" s="128"/>
      <c r="E52" s="128"/>
      <c r="F52" s="128"/>
      <c r="H52" s="128"/>
      <c r="I52" s="128"/>
      <c r="J52" s="128"/>
      <c r="L52" s="128"/>
      <c r="M52" s="128"/>
      <c r="N52" s="128"/>
      <c r="P52" s="128"/>
      <c r="Q52" s="128"/>
      <c r="R52" s="128"/>
      <c r="T52" s="128"/>
      <c r="U52" s="128"/>
      <c r="V52" s="128"/>
      <c r="X52" s="128"/>
      <c r="Y52" s="128"/>
      <c r="Z52" s="128"/>
    </row>
    <row r="53" spans="1:26" s="157" customFormat="1">
      <c r="A53" s="128"/>
      <c r="B53" s="128"/>
      <c r="C53" s="122"/>
      <c r="D53" s="128"/>
      <c r="E53" s="128"/>
      <c r="F53" s="128"/>
      <c r="G53" s="122"/>
      <c r="H53" s="128"/>
      <c r="I53" s="128"/>
      <c r="J53" s="128"/>
      <c r="K53" s="122"/>
      <c r="L53" s="128"/>
      <c r="M53" s="128"/>
      <c r="N53" s="128"/>
      <c r="O53" s="122"/>
      <c r="P53" s="128"/>
      <c r="Q53" s="128"/>
      <c r="R53" s="128"/>
      <c r="S53" s="122"/>
      <c r="T53" s="128"/>
      <c r="U53" s="128"/>
      <c r="V53" s="128"/>
      <c r="W53" s="122"/>
      <c r="X53" s="128"/>
      <c r="Y53" s="128"/>
      <c r="Z53" s="128"/>
    </row>
    <row r="54" spans="1:26" s="157" customFormat="1">
      <c r="A54" s="159"/>
      <c r="B54" s="159"/>
      <c r="D54" s="159"/>
      <c r="E54" s="159"/>
      <c r="F54" s="159"/>
      <c r="H54" s="159"/>
      <c r="I54" s="159"/>
      <c r="J54" s="159"/>
      <c r="L54" s="159"/>
      <c r="M54" s="159"/>
      <c r="N54" s="159"/>
      <c r="P54" s="159"/>
      <c r="Q54" s="159"/>
      <c r="R54" s="159"/>
      <c r="T54" s="159"/>
      <c r="U54" s="159"/>
      <c r="V54" s="159"/>
      <c r="X54" s="159"/>
      <c r="Y54" s="159"/>
      <c r="Z54" s="159"/>
    </row>
    <row r="55" spans="1:26" s="157" customFormat="1">
      <c r="A55" s="159"/>
      <c r="B55" s="159"/>
      <c r="D55" s="159"/>
      <c r="E55" s="159"/>
      <c r="F55" s="159"/>
      <c r="H55" s="159"/>
      <c r="I55" s="159"/>
      <c r="J55" s="159"/>
      <c r="L55" s="159"/>
      <c r="M55" s="159"/>
      <c r="N55" s="159"/>
      <c r="P55" s="159"/>
      <c r="Q55" s="159"/>
      <c r="R55" s="159"/>
      <c r="T55" s="159"/>
      <c r="U55" s="159"/>
      <c r="V55" s="159"/>
      <c r="X55" s="159"/>
      <c r="Y55" s="159"/>
      <c r="Z55" s="159"/>
    </row>
    <row r="56" spans="1:26" s="157" customFormat="1">
      <c r="A56" s="159"/>
      <c r="B56" s="159"/>
      <c r="D56" s="159"/>
      <c r="E56" s="159"/>
      <c r="F56" s="159"/>
      <c r="H56" s="159"/>
      <c r="I56" s="159"/>
      <c r="J56" s="159"/>
      <c r="L56" s="159"/>
      <c r="M56" s="159"/>
      <c r="N56" s="159"/>
      <c r="P56" s="159"/>
      <c r="Q56" s="159"/>
      <c r="R56" s="159"/>
      <c r="T56" s="159"/>
      <c r="U56" s="159"/>
      <c r="V56" s="159"/>
      <c r="X56" s="159"/>
      <c r="Y56" s="159"/>
      <c r="Z56" s="159"/>
    </row>
    <row r="57" spans="1:26" s="157" customFormat="1">
      <c r="A57" s="159"/>
      <c r="B57" s="159"/>
      <c r="D57" s="159"/>
      <c r="E57" s="159"/>
      <c r="F57" s="159"/>
      <c r="H57" s="159"/>
      <c r="I57" s="159"/>
      <c r="J57" s="159"/>
      <c r="L57" s="159"/>
      <c r="M57" s="159"/>
      <c r="N57" s="159"/>
      <c r="P57" s="159"/>
      <c r="Q57" s="159"/>
      <c r="R57" s="159"/>
      <c r="T57" s="159"/>
      <c r="U57" s="159"/>
      <c r="V57" s="159"/>
      <c r="X57" s="159"/>
      <c r="Y57" s="159"/>
      <c r="Z57" s="159"/>
    </row>
    <row r="58" spans="1:26" s="157" customFormat="1">
      <c r="A58" s="159"/>
      <c r="B58" s="159"/>
      <c r="D58" s="159"/>
      <c r="E58" s="159"/>
      <c r="F58" s="159"/>
      <c r="H58" s="159"/>
      <c r="I58" s="159"/>
      <c r="J58" s="159"/>
      <c r="L58" s="159"/>
      <c r="M58" s="159"/>
      <c r="N58" s="159"/>
      <c r="P58" s="159"/>
      <c r="Q58" s="159"/>
      <c r="R58" s="159"/>
      <c r="T58" s="159"/>
      <c r="U58" s="159"/>
      <c r="V58" s="159"/>
      <c r="X58" s="159"/>
      <c r="Y58" s="159"/>
      <c r="Z58" s="159"/>
    </row>
    <row r="59" spans="1:26" s="157" customFormat="1">
      <c r="A59" s="159"/>
      <c r="B59" s="159"/>
      <c r="D59" s="159"/>
      <c r="E59" s="159"/>
      <c r="F59" s="159"/>
      <c r="H59" s="159"/>
      <c r="I59" s="159"/>
      <c r="J59" s="159"/>
      <c r="L59" s="159"/>
      <c r="M59" s="159"/>
      <c r="N59" s="159"/>
      <c r="P59" s="159"/>
      <c r="Q59" s="159"/>
      <c r="R59" s="159"/>
      <c r="T59" s="159"/>
      <c r="U59" s="159"/>
      <c r="V59" s="159"/>
      <c r="X59" s="159"/>
      <c r="Y59" s="159"/>
      <c r="Z59" s="159"/>
    </row>
    <row r="60" spans="1:26" s="157" customFormat="1">
      <c r="A60" s="159"/>
      <c r="B60" s="159"/>
      <c r="D60" s="159"/>
      <c r="E60" s="159"/>
      <c r="F60" s="159"/>
      <c r="H60" s="159"/>
      <c r="I60" s="159"/>
      <c r="J60" s="159"/>
      <c r="L60" s="159"/>
      <c r="M60" s="159"/>
      <c r="N60" s="159"/>
      <c r="P60" s="159"/>
      <c r="Q60" s="159"/>
      <c r="R60" s="159"/>
      <c r="T60" s="159"/>
      <c r="U60" s="159"/>
      <c r="V60" s="159"/>
      <c r="X60" s="159"/>
      <c r="Y60" s="159"/>
      <c r="Z60" s="159"/>
    </row>
    <row r="61" spans="1:26" s="122" customFormat="1">
      <c r="A61" s="159"/>
      <c r="B61" s="159"/>
      <c r="C61" s="157"/>
      <c r="D61" s="159"/>
      <c r="E61" s="159"/>
      <c r="F61" s="159"/>
      <c r="G61" s="157"/>
      <c r="H61" s="159"/>
      <c r="I61" s="159"/>
      <c r="J61" s="159"/>
      <c r="K61" s="157"/>
      <c r="L61" s="159"/>
      <c r="M61" s="159"/>
      <c r="N61" s="159"/>
      <c r="O61" s="157"/>
      <c r="P61" s="159"/>
      <c r="Q61" s="159"/>
      <c r="R61" s="159"/>
      <c r="S61" s="157"/>
      <c r="T61" s="159"/>
      <c r="U61" s="159"/>
      <c r="V61" s="159"/>
      <c r="W61" s="157"/>
      <c r="X61" s="159"/>
      <c r="Y61" s="159"/>
      <c r="Z61" s="159"/>
    </row>
    <row r="62" spans="1:26" s="122" customFormat="1">
      <c r="A62" s="128"/>
      <c r="B62" s="128"/>
      <c r="D62" s="128"/>
      <c r="E62" s="128"/>
      <c r="F62" s="128"/>
      <c r="H62" s="128"/>
      <c r="I62" s="128"/>
      <c r="J62" s="128"/>
      <c r="L62" s="128"/>
      <c r="M62" s="128"/>
      <c r="N62" s="128"/>
      <c r="P62" s="128"/>
      <c r="Q62" s="128"/>
      <c r="R62" s="128"/>
      <c r="T62" s="128"/>
      <c r="U62" s="128"/>
      <c r="V62" s="128"/>
      <c r="X62" s="128"/>
      <c r="Y62" s="128"/>
      <c r="Z62" s="128"/>
    </row>
    <row r="63" spans="1:26" s="122" customFormat="1">
      <c r="A63" s="128"/>
      <c r="B63" s="128"/>
      <c r="D63" s="128"/>
      <c r="E63" s="128"/>
      <c r="F63" s="128"/>
      <c r="H63" s="128"/>
      <c r="I63" s="128"/>
      <c r="J63" s="128"/>
      <c r="L63" s="128"/>
      <c r="M63" s="128"/>
      <c r="N63" s="128"/>
      <c r="P63" s="128"/>
      <c r="Q63" s="128"/>
      <c r="R63" s="128"/>
      <c r="T63" s="128"/>
      <c r="U63" s="128"/>
      <c r="V63" s="128"/>
      <c r="X63" s="128"/>
      <c r="Y63" s="128"/>
      <c r="Z63" s="128"/>
    </row>
    <row r="64" spans="1:26" s="122" customFormat="1">
      <c r="A64" s="128"/>
      <c r="B64" s="128"/>
      <c r="D64" s="128"/>
      <c r="E64" s="128"/>
      <c r="F64" s="128"/>
      <c r="H64" s="128"/>
      <c r="I64" s="128"/>
      <c r="J64" s="128"/>
      <c r="L64" s="128"/>
      <c r="M64" s="128"/>
      <c r="N64" s="128"/>
      <c r="P64" s="128"/>
      <c r="Q64" s="128"/>
      <c r="R64" s="128"/>
      <c r="T64" s="128"/>
      <c r="U64" s="128"/>
      <c r="V64" s="128"/>
      <c r="X64" s="128"/>
      <c r="Y64" s="128"/>
      <c r="Z64" s="128"/>
    </row>
    <row r="65" spans="1:26" s="122" customFormat="1">
      <c r="A65" s="128"/>
      <c r="B65" s="128"/>
      <c r="D65" s="128"/>
      <c r="E65" s="128"/>
      <c r="F65" s="128"/>
      <c r="H65" s="128"/>
      <c r="I65" s="128"/>
      <c r="J65" s="128"/>
      <c r="L65" s="128"/>
      <c r="M65" s="128"/>
      <c r="N65" s="128"/>
      <c r="P65" s="128"/>
      <c r="Q65" s="128"/>
      <c r="R65" s="128"/>
      <c r="T65" s="128"/>
      <c r="U65" s="128"/>
      <c r="V65" s="128"/>
      <c r="X65" s="128"/>
      <c r="Y65" s="128"/>
      <c r="Z65" s="128"/>
    </row>
    <row r="66" spans="1:26" s="122" customFormat="1">
      <c r="A66" s="128"/>
      <c r="B66" s="128"/>
      <c r="D66" s="128"/>
      <c r="E66" s="128"/>
      <c r="F66" s="128"/>
      <c r="H66" s="128"/>
      <c r="I66" s="128"/>
      <c r="J66" s="128"/>
      <c r="L66" s="128"/>
      <c r="M66" s="128"/>
      <c r="N66" s="128"/>
      <c r="P66" s="128"/>
      <c r="Q66" s="128"/>
      <c r="R66" s="128"/>
      <c r="T66" s="128"/>
      <c r="U66" s="128"/>
      <c r="V66" s="128"/>
      <c r="X66" s="128"/>
      <c r="Y66" s="128"/>
      <c r="Z66" s="128"/>
    </row>
    <row r="67" spans="1:26" s="122" customFormat="1">
      <c r="A67" s="128"/>
      <c r="B67" s="128"/>
      <c r="D67" s="128"/>
      <c r="E67" s="128"/>
      <c r="F67" s="128"/>
      <c r="H67" s="128"/>
      <c r="I67" s="128"/>
      <c r="J67" s="128"/>
      <c r="L67" s="128"/>
      <c r="M67" s="128"/>
      <c r="N67" s="128"/>
      <c r="P67" s="128"/>
      <c r="Q67" s="128"/>
      <c r="R67" s="128"/>
      <c r="T67" s="128"/>
      <c r="U67" s="128"/>
      <c r="V67" s="128"/>
      <c r="X67" s="128"/>
      <c r="Y67" s="128"/>
      <c r="Z67" s="128"/>
    </row>
    <row r="68" spans="1:26" s="122" customFormat="1">
      <c r="A68" s="128"/>
      <c r="B68" s="128"/>
      <c r="D68" s="128"/>
      <c r="E68" s="128"/>
      <c r="F68" s="128"/>
      <c r="H68" s="128"/>
      <c r="I68" s="128"/>
      <c r="J68" s="128"/>
      <c r="L68" s="128"/>
      <c r="M68" s="128"/>
      <c r="N68" s="128"/>
      <c r="P68" s="128"/>
      <c r="Q68" s="128"/>
      <c r="R68" s="128"/>
      <c r="T68" s="128"/>
      <c r="U68" s="128"/>
      <c r="V68" s="128"/>
      <c r="X68" s="128"/>
      <c r="Y68" s="128"/>
      <c r="Z68" s="128"/>
    </row>
    <row r="69" spans="1:26" s="122" customFormat="1">
      <c r="A69" s="128"/>
      <c r="B69" s="128"/>
      <c r="D69" s="128"/>
      <c r="E69" s="128"/>
      <c r="F69" s="128"/>
      <c r="H69" s="128"/>
      <c r="I69" s="128"/>
      <c r="J69" s="128"/>
      <c r="L69" s="128"/>
      <c r="M69" s="128"/>
      <c r="N69" s="128"/>
      <c r="P69" s="128"/>
      <c r="Q69" s="128"/>
      <c r="R69" s="128"/>
      <c r="T69" s="128"/>
      <c r="U69" s="128"/>
      <c r="V69" s="128"/>
      <c r="X69" s="128"/>
      <c r="Y69" s="128"/>
      <c r="Z69" s="128"/>
    </row>
    <row r="70" spans="1:26" s="122" customFormat="1">
      <c r="A70" s="129"/>
      <c r="B70" s="193"/>
      <c r="D70" s="129"/>
      <c r="E70" s="193"/>
      <c r="F70" s="129"/>
      <c r="H70" s="129"/>
      <c r="I70" s="193"/>
      <c r="J70" s="129"/>
      <c r="L70" s="129"/>
      <c r="M70" s="193"/>
      <c r="N70" s="129"/>
      <c r="P70" s="129"/>
      <c r="Q70" s="193"/>
      <c r="R70" s="129"/>
      <c r="T70" s="129"/>
      <c r="U70" s="193"/>
      <c r="V70" s="129"/>
      <c r="X70" s="129"/>
      <c r="Y70" s="193"/>
      <c r="Z70" s="129"/>
    </row>
    <row r="71" spans="1:26" s="122" customFormat="1">
      <c r="B71" s="194"/>
      <c r="E71" s="194"/>
      <c r="F71" s="130"/>
      <c r="I71" s="194"/>
      <c r="J71" s="130"/>
      <c r="M71" s="194"/>
      <c r="N71" s="130"/>
      <c r="Q71" s="194"/>
      <c r="R71" s="130"/>
      <c r="U71" s="194"/>
      <c r="V71" s="130"/>
      <c r="Y71" s="194"/>
      <c r="Z71" s="130"/>
    </row>
    <row r="72" spans="1:26" s="122" customFormat="1">
      <c r="B72" s="194"/>
      <c r="E72" s="194"/>
      <c r="F72" s="130"/>
      <c r="I72" s="194"/>
      <c r="J72" s="130"/>
      <c r="M72" s="194"/>
      <c r="N72" s="130"/>
      <c r="Q72" s="194"/>
      <c r="R72" s="130"/>
      <c r="U72" s="194"/>
      <c r="V72" s="130"/>
      <c r="Y72" s="194"/>
      <c r="Z72" s="130"/>
    </row>
    <row r="73" spans="1:26" s="122" customFormat="1">
      <c r="B73" s="194"/>
      <c r="E73" s="194"/>
      <c r="F73" s="130"/>
      <c r="I73" s="194"/>
      <c r="J73" s="130"/>
      <c r="M73" s="194"/>
      <c r="N73" s="130"/>
      <c r="Q73" s="194"/>
      <c r="R73" s="130"/>
      <c r="U73" s="194"/>
      <c r="V73" s="130"/>
      <c r="Y73" s="194"/>
      <c r="Z73" s="130"/>
    </row>
    <row r="74" spans="1:26" s="122" customFormat="1">
      <c r="B74" s="194"/>
      <c r="E74" s="194"/>
      <c r="F74" s="130"/>
      <c r="I74" s="194"/>
      <c r="J74" s="130"/>
      <c r="M74" s="194"/>
      <c r="N74" s="130"/>
      <c r="Q74" s="194"/>
      <c r="R74" s="130"/>
      <c r="U74" s="194"/>
      <c r="V74" s="130"/>
      <c r="Y74" s="194"/>
      <c r="Z74" s="130"/>
    </row>
    <row r="75" spans="1:26" s="122" customFormat="1">
      <c r="B75" s="194"/>
      <c r="E75" s="194"/>
      <c r="F75" s="130"/>
      <c r="I75" s="194"/>
      <c r="J75" s="130"/>
      <c r="M75" s="194"/>
      <c r="N75" s="130"/>
      <c r="Q75" s="194"/>
      <c r="R75" s="130"/>
      <c r="U75" s="194"/>
      <c r="V75" s="130"/>
      <c r="Y75" s="194"/>
      <c r="Z75" s="130"/>
    </row>
    <row r="76" spans="1:26" s="122" customFormat="1">
      <c r="B76" s="194"/>
      <c r="E76" s="194"/>
      <c r="F76" s="130"/>
      <c r="I76" s="194"/>
      <c r="J76" s="130"/>
      <c r="M76" s="194"/>
      <c r="N76" s="130"/>
      <c r="Q76" s="194"/>
      <c r="R76" s="130"/>
      <c r="U76" s="194"/>
      <c r="V76" s="130"/>
      <c r="Y76" s="194"/>
      <c r="Z76" s="130"/>
    </row>
    <row r="77" spans="1:26" s="122" customFormat="1">
      <c r="B77" s="194"/>
      <c r="E77" s="194"/>
      <c r="F77" s="130"/>
      <c r="I77" s="194"/>
      <c r="J77" s="130"/>
      <c r="M77" s="194"/>
      <c r="N77" s="130"/>
      <c r="Q77" s="194"/>
      <c r="R77" s="130"/>
      <c r="U77" s="194"/>
      <c r="V77" s="130"/>
      <c r="Y77" s="194"/>
      <c r="Z77" s="130"/>
    </row>
    <row r="78" spans="1:26" s="122" customFormat="1">
      <c r="B78" s="194"/>
      <c r="E78" s="194"/>
      <c r="F78" s="130"/>
      <c r="I78" s="194"/>
      <c r="J78" s="130"/>
      <c r="M78" s="194"/>
      <c r="N78" s="130"/>
      <c r="Q78" s="194"/>
      <c r="R78" s="130"/>
      <c r="U78" s="194"/>
      <c r="V78" s="130"/>
      <c r="Y78" s="194"/>
      <c r="Z78" s="130"/>
    </row>
    <row r="79" spans="1:26" s="122" customFormat="1">
      <c r="B79" s="194"/>
      <c r="E79" s="194"/>
      <c r="F79" s="130"/>
      <c r="I79" s="194"/>
      <c r="J79" s="130"/>
      <c r="M79" s="194"/>
      <c r="N79" s="130"/>
      <c r="Q79" s="194"/>
      <c r="R79" s="130"/>
      <c r="U79" s="194"/>
      <c r="V79" s="130"/>
      <c r="Y79" s="194"/>
      <c r="Z79" s="130"/>
    </row>
    <row r="80" spans="1:26" s="122" customFormat="1">
      <c r="B80" s="194"/>
      <c r="E80" s="194"/>
      <c r="F80" s="130"/>
      <c r="I80" s="194"/>
      <c r="J80" s="130"/>
      <c r="M80" s="194"/>
      <c r="N80" s="130"/>
      <c r="Q80" s="194"/>
      <c r="R80" s="130"/>
      <c r="U80" s="194"/>
      <c r="V80" s="130"/>
      <c r="Y80" s="194"/>
      <c r="Z80" s="130"/>
    </row>
    <row r="81" spans="2:26" s="122" customFormat="1">
      <c r="B81" s="194"/>
      <c r="E81" s="194"/>
      <c r="F81" s="130"/>
      <c r="I81" s="194"/>
      <c r="J81" s="130"/>
      <c r="M81" s="194"/>
      <c r="N81" s="130"/>
      <c r="Q81" s="194"/>
      <c r="R81" s="130"/>
      <c r="U81" s="194"/>
      <c r="V81" s="130"/>
      <c r="Y81" s="194"/>
      <c r="Z81" s="130"/>
    </row>
    <row r="82" spans="2:26" s="122" customFormat="1">
      <c r="B82" s="194"/>
      <c r="E82" s="194"/>
      <c r="F82" s="130"/>
      <c r="I82" s="194"/>
      <c r="J82" s="130"/>
      <c r="M82" s="194"/>
      <c r="N82" s="130"/>
      <c r="Q82" s="194"/>
      <c r="R82" s="130"/>
      <c r="U82" s="194"/>
      <c r="V82" s="130"/>
      <c r="Y82" s="194"/>
      <c r="Z82" s="130"/>
    </row>
    <row r="83" spans="2:26" s="122" customFormat="1">
      <c r="B83" s="194"/>
      <c r="E83" s="194"/>
      <c r="F83" s="130"/>
      <c r="I83" s="194"/>
      <c r="J83" s="130"/>
      <c r="M83" s="194"/>
      <c r="N83" s="130"/>
      <c r="Q83" s="194"/>
      <c r="R83" s="130"/>
      <c r="U83" s="194"/>
      <c r="V83" s="130"/>
      <c r="Y83" s="194"/>
      <c r="Z83" s="130"/>
    </row>
    <row r="84" spans="2:26" s="122" customFormat="1">
      <c r="B84" s="194"/>
      <c r="E84" s="194"/>
      <c r="F84" s="130"/>
      <c r="I84" s="194"/>
      <c r="J84" s="130"/>
      <c r="M84" s="194"/>
      <c r="N84" s="130"/>
      <c r="Q84" s="194"/>
      <c r="R84" s="130"/>
      <c r="U84" s="194"/>
      <c r="V84" s="130"/>
      <c r="Y84" s="194"/>
      <c r="Z84" s="130"/>
    </row>
    <row r="85" spans="2:26" s="122" customFormat="1">
      <c r="B85" s="194"/>
      <c r="E85" s="194"/>
      <c r="F85" s="130"/>
      <c r="I85" s="194"/>
      <c r="J85" s="130"/>
      <c r="M85" s="194"/>
      <c r="N85" s="130"/>
      <c r="Q85" s="194"/>
      <c r="R85" s="130"/>
      <c r="U85" s="194"/>
      <c r="V85" s="130"/>
      <c r="Y85" s="194"/>
      <c r="Z85" s="130"/>
    </row>
    <row r="86" spans="2:26" s="122" customFormat="1">
      <c r="B86" s="194"/>
      <c r="E86" s="194"/>
      <c r="F86" s="130"/>
      <c r="I86" s="194"/>
      <c r="J86" s="130"/>
      <c r="M86" s="194"/>
      <c r="N86" s="130"/>
      <c r="Q86" s="194"/>
      <c r="R86" s="130"/>
      <c r="U86" s="194"/>
      <c r="V86" s="130"/>
      <c r="Y86" s="194"/>
      <c r="Z86" s="130"/>
    </row>
    <row r="87" spans="2:26" s="122" customFormat="1">
      <c r="B87" s="194"/>
      <c r="E87" s="194"/>
      <c r="F87" s="130"/>
      <c r="I87" s="194"/>
      <c r="J87" s="130"/>
      <c r="M87" s="194"/>
      <c r="N87" s="130"/>
      <c r="Q87" s="194"/>
      <c r="R87" s="130"/>
      <c r="U87" s="194"/>
      <c r="V87" s="130"/>
      <c r="Y87" s="194"/>
      <c r="Z87" s="130"/>
    </row>
    <row r="88" spans="2:26" s="122" customFormat="1">
      <c r="B88" s="194"/>
      <c r="E88" s="194"/>
      <c r="F88" s="130"/>
      <c r="I88" s="194"/>
      <c r="J88" s="130"/>
      <c r="M88" s="194"/>
      <c r="N88" s="130"/>
      <c r="Q88" s="194"/>
      <c r="R88" s="130"/>
      <c r="U88" s="194"/>
      <c r="V88" s="130"/>
      <c r="Y88" s="194"/>
      <c r="Z88" s="130"/>
    </row>
    <row r="89" spans="2:26" s="122" customFormat="1">
      <c r="B89" s="194"/>
      <c r="E89" s="194"/>
      <c r="F89" s="130"/>
      <c r="I89" s="194"/>
      <c r="J89" s="130"/>
      <c r="M89" s="194"/>
      <c r="N89" s="130"/>
      <c r="Q89" s="194"/>
      <c r="R89" s="130"/>
      <c r="U89" s="194"/>
      <c r="V89" s="130"/>
      <c r="Y89" s="194"/>
      <c r="Z89" s="130"/>
    </row>
    <row r="90" spans="2:26" s="122" customFormat="1">
      <c r="B90" s="194"/>
      <c r="E90" s="194"/>
      <c r="F90" s="130"/>
      <c r="I90" s="194"/>
      <c r="J90" s="130"/>
      <c r="M90" s="194"/>
      <c r="N90" s="130"/>
      <c r="Q90" s="194"/>
      <c r="R90" s="130"/>
      <c r="U90" s="194"/>
      <c r="V90" s="130"/>
      <c r="Y90" s="194"/>
      <c r="Z90" s="130"/>
    </row>
    <row r="91" spans="2:26" s="122" customFormat="1">
      <c r="B91" s="194"/>
      <c r="E91" s="194"/>
      <c r="F91" s="130"/>
      <c r="I91" s="194"/>
      <c r="J91" s="130"/>
      <c r="M91" s="194"/>
      <c r="N91" s="130"/>
      <c r="Q91" s="194"/>
      <c r="R91" s="130"/>
      <c r="U91" s="194"/>
      <c r="V91" s="130"/>
      <c r="Y91" s="194"/>
      <c r="Z91" s="130"/>
    </row>
    <row r="92" spans="2:26" s="122" customFormat="1">
      <c r="B92" s="194"/>
      <c r="E92" s="194"/>
      <c r="F92" s="130"/>
      <c r="I92" s="194"/>
      <c r="J92" s="130"/>
      <c r="M92" s="194"/>
      <c r="N92" s="130"/>
      <c r="Q92" s="194"/>
      <c r="R92" s="130"/>
      <c r="U92" s="194"/>
      <c r="V92" s="130"/>
      <c r="Y92" s="194"/>
      <c r="Z92" s="130"/>
    </row>
    <row r="93" spans="2:26" s="122" customFormat="1">
      <c r="B93" s="194"/>
      <c r="E93" s="194"/>
      <c r="F93" s="130"/>
      <c r="I93" s="194"/>
      <c r="J93" s="130"/>
      <c r="M93" s="194"/>
      <c r="N93" s="130"/>
      <c r="Q93" s="194"/>
      <c r="R93" s="130"/>
      <c r="U93" s="194"/>
      <c r="V93" s="130"/>
      <c r="Y93" s="194"/>
      <c r="Z93" s="130"/>
    </row>
    <row r="94" spans="2:26" s="122" customFormat="1">
      <c r="B94" s="194"/>
      <c r="E94" s="194"/>
      <c r="F94" s="130"/>
      <c r="I94" s="194"/>
      <c r="J94" s="130"/>
      <c r="M94" s="194"/>
      <c r="N94" s="130"/>
      <c r="Q94" s="194"/>
      <c r="R94" s="130"/>
      <c r="U94" s="194"/>
      <c r="V94" s="130"/>
      <c r="Y94" s="194"/>
      <c r="Z94" s="130"/>
    </row>
    <row r="95" spans="2:26" s="122" customFormat="1">
      <c r="B95" s="130"/>
      <c r="E95" s="130"/>
      <c r="F95" s="130"/>
      <c r="I95" s="130"/>
      <c r="J95" s="130"/>
      <c r="M95" s="130"/>
      <c r="N95" s="130"/>
      <c r="Q95" s="130"/>
      <c r="R95" s="130"/>
      <c r="U95" s="130"/>
      <c r="V95" s="130"/>
      <c r="Y95" s="130"/>
      <c r="Z95" s="130"/>
    </row>
    <row r="96" spans="2:26" s="122" customFormat="1">
      <c r="B96" s="130"/>
      <c r="E96" s="130"/>
      <c r="F96" s="130"/>
      <c r="I96" s="130"/>
      <c r="J96" s="130"/>
      <c r="M96" s="130"/>
      <c r="N96" s="130"/>
      <c r="Q96" s="130"/>
      <c r="R96" s="130"/>
      <c r="U96" s="130"/>
      <c r="V96" s="130"/>
      <c r="Y96" s="130"/>
      <c r="Z96" s="130"/>
    </row>
    <row r="97" spans="2:26" s="122" customFormat="1">
      <c r="B97" s="130"/>
      <c r="E97" s="130"/>
      <c r="F97" s="130"/>
      <c r="I97" s="130"/>
      <c r="J97" s="130"/>
      <c r="M97" s="130"/>
      <c r="N97" s="130"/>
      <c r="Q97" s="130"/>
      <c r="R97" s="130"/>
      <c r="U97" s="130"/>
      <c r="V97" s="130"/>
      <c r="Y97" s="130"/>
      <c r="Z97" s="130"/>
    </row>
    <row r="98" spans="2:26" s="122" customFormat="1">
      <c r="B98" s="130"/>
      <c r="E98" s="130"/>
      <c r="F98" s="130"/>
      <c r="I98" s="130"/>
      <c r="J98" s="130"/>
      <c r="M98" s="130"/>
      <c r="N98" s="130"/>
      <c r="Q98" s="130"/>
      <c r="R98" s="130"/>
      <c r="U98" s="130"/>
      <c r="V98" s="130"/>
      <c r="Y98" s="130"/>
      <c r="Z98" s="130"/>
    </row>
    <row r="99" spans="2:26" s="122" customFormat="1">
      <c r="B99" s="130"/>
      <c r="E99" s="130"/>
      <c r="F99" s="130"/>
      <c r="I99" s="130"/>
      <c r="J99" s="130"/>
      <c r="M99" s="130"/>
      <c r="N99" s="130"/>
      <c r="Q99" s="130"/>
      <c r="R99" s="130"/>
      <c r="U99" s="130"/>
      <c r="V99" s="130"/>
      <c r="Y99" s="130"/>
      <c r="Z99" s="130"/>
    </row>
    <row r="100" spans="2:26" s="122" customFormat="1">
      <c r="B100" s="130"/>
      <c r="E100" s="130"/>
      <c r="F100" s="130"/>
      <c r="I100" s="130"/>
      <c r="J100" s="130"/>
      <c r="M100" s="130"/>
      <c r="N100" s="130"/>
      <c r="Q100" s="130"/>
      <c r="R100" s="130"/>
      <c r="U100" s="130"/>
      <c r="V100" s="130"/>
      <c r="Y100" s="130"/>
      <c r="Z100" s="130"/>
    </row>
    <row r="101" spans="2:26" s="122" customFormat="1">
      <c r="B101" s="130"/>
      <c r="E101" s="130"/>
      <c r="F101" s="130"/>
      <c r="I101" s="130"/>
      <c r="J101" s="130"/>
      <c r="M101" s="130"/>
      <c r="N101" s="130"/>
      <c r="Q101" s="130"/>
      <c r="R101" s="130"/>
      <c r="U101" s="130"/>
      <c r="V101" s="130"/>
      <c r="Y101" s="130"/>
      <c r="Z101" s="130"/>
    </row>
    <row r="102" spans="2:26" s="122" customFormat="1">
      <c r="B102" s="130"/>
      <c r="E102" s="130"/>
      <c r="F102" s="130"/>
      <c r="I102" s="130"/>
      <c r="J102" s="130"/>
      <c r="M102" s="130"/>
      <c r="N102" s="130"/>
      <c r="Q102" s="130"/>
      <c r="R102" s="130"/>
      <c r="U102" s="130"/>
      <c r="V102" s="130"/>
      <c r="Y102" s="130"/>
      <c r="Z102" s="130"/>
    </row>
    <row r="103" spans="2:26" s="122" customFormat="1">
      <c r="B103" s="130"/>
      <c r="E103" s="130"/>
      <c r="F103" s="130"/>
      <c r="I103" s="130"/>
      <c r="J103" s="130"/>
      <c r="M103" s="130"/>
      <c r="N103" s="130"/>
      <c r="Q103" s="130"/>
      <c r="R103" s="130"/>
      <c r="U103" s="130"/>
      <c r="V103" s="130"/>
      <c r="Y103" s="130"/>
      <c r="Z103" s="130"/>
    </row>
    <row r="104" spans="2:26" s="122" customFormat="1">
      <c r="B104" s="130"/>
      <c r="E104" s="130"/>
      <c r="F104" s="130"/>
      <c r="I104" s="130"/>
      <c r="J104" s="130"/>
      <c r="M104" s="130"/>
      <c r="N104" s="130"/>
      <c r="Q104" s="130"/>
      <c r="R104" s="130"/>
      <c r="U104" s="130"/>
      <c r="V104" s="130"/>
      <c r="Y104" s="130"/>
      <c r="Z104" s="130"/>
    </row>
    <row r="105" spans="2:26" s="122" customFormat="1">
      <c r="B105" s="130"/>
      <c r="E105" s="130"/>
      <c r="F105" s="130"/>
      <c r="I105" s="130"/>
      <c r="J105" s="130"/>
      <c r="M105" s="130"/>
      <c r="N105" s="130"/>
      <c r="Q105" s="130"/>
      <c r="R105" s="130"/>
      <c r="U105" s="130"/>
      <c r="V105" s="130"/>
      <c r="Y105" s="130"/>
      <c r="Z105" s="130"/>
    </row>
    <row r="106" spans="2:26" s="122" customFormat="1">
      <c r="B106" s="130"/>
      <c r="E106" s="130"/>
      <c r="F106" s="130"/>
      <c r="I106" s="130"/>
      <c r="J106" s="130"/>
      <c r="M106" s="130"/>
      <c r="N106" s="130"/>
      <c r="Q106" s="130"/>
      <c r="R106" s="130"/>
      <c r="U106" s="130"/>
      <c r="V106" s="130"/>
      <c r="Y106" s="130"/>
      <c r="Z106" s="130"/>
    </row>
    <row r="107" spans="2:26" s="122" customFormat="1">
      <c r="B107" s="130"/>
      <c r="E107" s="130"/>
      <c r="F107" s="130"/>
      <c r="I107" s="130"/>
      <c r="J107" s="130"/>
      <c r="M107" s="130"/>
      <c r="N107" s="130"/>
      <c r="Q107" s="130"/>
      <c r="R107" s="130"/>
      <c r="U107" s="130"/>
      <c r="V107" s="130"/>
      <c r="Y107" s="130"/>
      <c r="Z107" s="130"/>
    </row>
    <row r="108" spans="2:26" s="122" customFormat="1">
      <c r="B108" s="130"/>
      <c r="E108" s="130"/>
      <c r="F108" s="130"/>
      <c r="I108" s="130"/>
      <c r="J108" s="130"/>
      <c r="M108" s="130"/>
      <c r="N108" s="130"/>
      <c r="Q108" s="130"/>
      <c r="R108" s="130"/>
      <c r="U108" s="130"/>
      <c r="V108" s="130"/>
      <c r="Y108" s="130"/>
      <c r="Z108" s="130"/>
    </row>
    <row r="109" spans="2:26" s="122" customFormat="1">
      <c r="B109" s="130"/>
      <c r="E109" s="130"/>
      <c r="F109" s="130"/>
      <c r="I109" s="130"/>
      <c r="J109" s="130"/>
      <c r="M109" s="130"/>
      <c r="N109" s="130"/>
      <c r="Q109" s="130"/>
      <c r="R109" s="130"/>
      <c r="U109" s="130"/>
      <c r="V109" s="130"/>
      <c r="Y109" s="130"/>
      <c r="Z109" s="130"/>
    </row>
    <row r="110" spans="2:26" s="122" customFormat="1">
      <c r="B110" s="130"/>
      <c r="E110" s="130"/>
      <c r="F110" s="130"/>
      <c r="I110" s="130"/>
      <c r="J110" s="130"/>
      <c r="M110" s="130"/>
      <c r="N110" s="130"/>
      <c r="Q110" s="130"/>
      <c r="R110" s="130"/>
      <c r="U110" s="130"/>
      <c r="V110" s="130"/>
      <c r="Y110" s="130"/>
      <c r="Z110" s="130"/>
    </row>
    <row r="111" spans="2:26" s="122" customFormat="1">
      <c r="B111" s="130"/>
      <c r="E111" s="130"/>
      <c r="F111" s="130"/>
      <c r="I111" s="130"/>
      <c r="J111" s="130"/>
      <c r="M111" s="130"/>
      <c r="N111" s="130"/>
      <c r="Q111" s="130"/>
      <c r="R111" s="130"/>
      <c r="U111" s="130"/>
      <c r="V111" s="130"/>
      <c r="Y111" s="130"/>
      <c r="Z111" s="130"/>
    </row>
    <row r="112" spans="2:26" s="122" customFormat="1">
      <c r="B112" s="130"/>
      <c r="E112" s="130"/>
      <c r="F112" s="130"/>
      <c r="I112" s="130"/>
      <c r="J112" s="130"/>
      <c r="M112" s="130"/>
      <c r="N112" s="130"/>
      <c r="Q112" s="130"/>
      <c r="R112" s="130"/>
      <c r="U112" s="130"/>
      <c r="V112" s="130"/>
      <c r="Y112" s="130"/>
      <c r="Z112" s="130"/>
    </row>
    <row r="113" spans="2:26" s="122" customFormat="1">
      <c r="B113" s="130"/>
      <c r="E113" s="130"/>
      <c r="F113" s="130"/>
      <c r="I113" s="130"/>
      <c r="J113" s="130"/>
      <c r="M113" s="130"/>
      <c r="N113" s="130"/>
      <c r="Q113" s="130"/>
      <c r="R113" s="130"/>
      <c r="U113" s="130"/>
      <c r="V113" s="130"/>
      <c r="Y113" s="130"/>
      <c r="Z113" s="130"/>
    </row>
    <row r="114" spans="2:26" s="122" customFormat="1">
      <c r="B114" s="130"/>
      <c r="E114" s="130"/>
      <c r="F114" s="130"/>
      <c r="I114" s="130"/>
      <c r="J114" s="130"/>
      <c r="M114" s="130"/>
      <c r="N114" s="130"/>
      <c r="Q114" s="130"/>
      <c r="R114" s="130"/>
      <c r="U114" s="130"/>
      <c r="V114" s="130"/>
      <c r="Y114" s="130"/>
      <c r="Z114" s="130"/>
    </row>
    <row r="115" spans="2:26" s="122" customFormat="1">
      <c r="B115" s="130"/>
      <c r="E115" s="130"/>
      <c r="F115" s="130"/>
      <c r="I115" s="130"/>
      <c r="J115" s="130"/>
      <c r="M115" s="130"/>
      <c r="N115" s="130"/>
      <c r="Q115" s="130"/>
      <c r="R115" s="130"/>
      <c r="U115" s="130"/>
      <c r="V115" s="130"/>
      <c r="Y115" s="130"/>
      <c r="Z115" s="130"/>
    </row>
    <row r="116" spans="2:26" s="122" customFormat="1">
      <c r="B116" s="130"/>
      <c r="E116" s="130"/>
      <c r="F116" s="130"/>
      <c r="I116" s="130"/>
      <c r="J116" s="130"/>
      <c r="M116" s="130"/>
      <c r="N116" s="130"/>
      <c r="Q116" s="130"/>
      <c r="R116" s="130"/>
      <c r="U116" s="130"/>
      <c r="V116" s="130"/>
      <c r="Y116" s="130"/>
      <c r="Z116" s="130"/>
    </row>
    <row r="117" spans="2:26" s="122" customFormat="1">
      <c r="B117" s="130"/>
      <c r="E117" s="130"/>
      <c r="F117" s="130"/>
      <c r="I117" s="130"/>
      <c r="J117" s="130"/>
      <c r="M117" s="130"/>
      <c r="N117" s="130"/>
      <c r="Q117" s="130"/>
      <c r="R117" s="130"/>
      <c r="U117" s="130"/>
      <c r="V117" s="130"/>
      <c r="Y117" s="130"/>
      <c r="Z117" s="130"/>
    </row>
    <row r="118" spans="2:26" s="122" customFormat="1">
      <c r="B118" s="130"/>
      <c r="E118" s="130"/>
      <c r="F118" s="130"/>
      <c r="I118" s="130"/>
      <c r="J118" s="130"/>
      <c r="M118" s="130"/>
      <c r="N118" s="130"/>
      <c r="Q118" s="130"/>
      <c r="R118" s="130"/>
      <c r="U118" s="130"/>
      <c r="V118" s="130"/>
      <c r="Y118" s="130"/>
      <c r="Z118" s="130"/>
    </row>
    <row r="119" spans="2:26" s="122" customFormat="1">
      <c r="B119" s="130"/>
      <c r="E119" s="130"/>
      <c r="F119" s="130"/>
      <c r="I119" s="130"/>
      <c r="J119" s="130"/>
      <c r="M119" s="130"/>
      <c r="N119" s="130"/>
      <c r="Q119" s="130"/>
      <c r="R119" s="130"/>
      <c r="U119" s="130"/>
      <c r="V119" s="130"/>
      <c r="Y119" s="130"/>
      <c r="Z119" s="130"/>
    </row>
    <row r="120" spans="2:26" s="122" customFormat="1">
      <c r="B120" s="130"/>
      <c r="E120" s="130"/>
      <c r="F120" s="130"/>
      <c r="I120" s="130"/>
      <c r="J120" s="130"/>
      <c r="M120" s="130"/>
      <c r="N120" s="130"/>
      <c r="Q120" s="130"/>
      <c r="R120" s="130"/>
      <c r="U120" s="130"/>
      <c r="V120" s="130"/>
      <c r="Y120" s="130"/>
      <c r="Z120" s="130"/>
    </row>
    <row r="121" spans="2:26" s="122" customFormat="1">
      <c r="B121" s="130"/>
      <c r="E121" s="130"/>
      <c r="F121" s="130"/>
      <c r="I121" s="130"/>
      <c r="J121" s="130"/>
      <c r="M121" s="130"/>
      <c r="N121" s="130"/>
      <c r="Q121" s="130"/>
      <c r="R121" s="130"/>
      <c r="U121" s="130"/>
      <c r="V121" s="130"/>
      <c r="Y121" s="130"/>
      <c r="Z121" s="130"/>
    </row>
    <row r="122" spans="2:26" s="122" customFormat="1">
      <c r="B122" s="130"/>
      <c r="E122" s="130"/>
      <c r="F122" s="130"/>
      <c r="I122" s="130"/>
      <c r="J122" s="130"/>
      <c r="M122" s="130"/>
      <c r="N122" s="130"/>
      <c r="Q122" s="130"/>
      <c r="R122" s="130"/>
      <c r="U122" s="130"/>
      <c r="V122" s="130"/>
      <c r="Y122" s="130"/>
      <c r="Z122" s="130"/>
    </row>
    <row r="123" spans="2:26" s="122" customFormat="1">
      <c r="B123" s="130"/>
      <c r="E123" s="130"/>
      <c r="F123" s="130"/>
      <c r="I123" s="130"/>
      <c r="J123" s="130"/>
      <c r="M123" s="130"/>
      <c r="N123" s="130"/>
      <c r="Q123" s="130"/>
      <c r="R123" s="130"/>
      <c r="U123" s="130"/>
      <c r="V123" s="130"/>
      <c r="Y123" s="130"/>
      <c r="Z123" s="130"/>
    </row>
    <row r="124" spans="2:26" s="122" customFormat="1">
      <c r="B124" s="130"/>
      <c r="E124" s="130"/>
      <c r="F124" s="130"/>
      <c r="I124" s="130"/>
      <c r="J124" s="130"/>
      <c r="M124" s="130"/>
      <c r="N124" s="130"/>
      <c r="Q124" s="130"/>
      <c r="R124" s="130"/>
      <c r="U124" s="130"/>
      <c r="V124" s="130"/>
      <c r="Y124" s="130"/>
      <c r="Z124" s="130"/>
    </row>
    <row r="125" spans="2:26" s="122" customFormat="1">
      <c r="B125" s="130"/>
      <c r="E125" s="130"/>
      <c r="F125" s="130"/>
      <c r="I125" s="130"/>
      <c r="J125" s="130"/>
      <c r="M125" s="130"/>
      <c r="N125" s="130"/>
      <c r="Q125" s="130"/>
      <c r="R125" s="130"/>
      <c r="U125" s="130"/>
      <c r="V125" s="130"/>
      <c r="Y125" s="130"/>
      <c r="Z125" s="130"/>
    </row>
    <row r="126" spans="2:26" s="122" customFormat="1">
      <c r="B126" s="130"/>
      <c r="E126" s="130"/>
      <c r="F126" s="130"/>
      <c r="I126" s="130"/>
      <c r="J126" s="130"/>
      <c r="M126" s="130"/>
      <c r="N126" s="130"/>
      <c r="Q126" s="130"/>
      <c r="R126" s="130"/>
      <c r="U126" s="130"/>
      <c r="V126" s="130"/>
      <c r="Y126" s="130"/>
      <c r="Z126" s="130"/>
    </row>
    <row r="127" spans="2:26" s="122" customFormat="1">
      <c r="B127" s="130"/>
      <c r="E127" s="130"/>
      <c r="F127" s="130"/>
      <c r="I127" s="130"/>
      <c r="J127" s="130"/>
      <c r="M127" s="130"/>
      <c r="N127" s="130"/>
      <c r="Q127" s="130"/>
      <c r="R127" s="130"/>
      <c r="U127" s="130"/>
      <c r="V127" s="130"/>
      <c r="Y127" s="130"/>
      <c r="Z127" s="130"/>
    </row>
    <row r="128" spans="2:26" s="122" customFormat="1">
      <c r="B128" s="130"/>
      <c r="E128" s="130"/>
      <c r="F128" s="130"/>
      <c r="I128" s="130"/>
      <c r="J128" s="130"/>
      <c r="M128" s="130"/>
      <c r="N128" s="130"/>
      <c r="Q128" s="130"/>
      <c r="R128" s="130"/>
      <c r="U128" s="130"/>
      <c r="V128" s="130"/>
      <c r="Y128" s="130"/>
      <c r="Z128" s="130"/>
    </row>
    <row r="129" spans="2:26" s="122" customFormat="1">
      <c r="B129" s="130"/>
      <c r="E129" s="130"/>
      <c r="F129" s="130"/>
      <c r="I129" s="130"/>
      <c r="J129" s="130"/>
      <c r="M129" s="130"/>
      <c r="N129" s="130"/>
      <c r="Q129" s="130"/>
      <c r="R129" s="130"/>
      <c r="U129" s="130"/>
      <c r="V129" s="130"/>
      <c r="Y129" s="130"/>
      <c r="Z129" s="130"/>
    </row>
    <row r="130" spans="2:26" s="122" customFormat="1">
      <c r="B130" s="130"/>
      <c r="E130" s="130"/>
      <c r="F130" s="130"/>
      <c r="I130" s="130"/>
      <c r="J130" s="130"/>
      <c r="M130" s="130"/>
      <c r="N130" s="130"/>
      <c r="Q130" s="130"/>
      <c r="R130" s="130"/>
      <c r="U130" s="130"/>
      <c r="V130" s="130"/>
      <c r="Y130" s="130"/>
      <c r="Z130" s="130"/>
    </row>
    <row r="131" spans="2:26" s="122" customFormat="1">
      <c r="B131" s="130"/>
      <c r="E131" s="130"/>
      <c r="F131" s="130"/>
      <c r="I131" s="130"/>
      <c r="J131" s="130"/>
      <c r="M131" s="130"/>
      <c r="N131" s="130"/>
      <c r="Q131" s="130"/>
      <c r="R131" s="130"/>
      <c r="U131" s="130"/>
      <c r="V131" s="130"/>
      <c r="Y131" s="130"/>
      <c r="Z131" s="130"/>
    </row>
    <row r="132" spans="2:26" s="122" customFormat="1">
      <c r="B132" s="130"/>
      <c r="E132" s="130"/>
      <c r="F132" s="130"/>
      <c r="I132" s="130"/>
      <c r="J132" s="130"/>
      <c r="M132" s="130"/>
      <c r="N132" s="130"/>
      <c r="Q132" s="130"/>
      <c r="R132" s="130"/>
      <c r="U132" s="130"/>
      <c r="V132" s="130"/>
      <c r="Y132" s="130"/>
      <c r="Z132" s="130"/>
    </row>
    <row r="133" spans="2:26" s="122" customFormat="1">
      <c r="B133" s="130"/>
      <c r="E133" s="130"/>
      <c r="F133" s="130"/>
      <c r="I133" s="130"/>
      <c r="J133" s="130"/>
      <c r="M133" s="130"/>
      <c r="N133" s="130"/>
      <c r="Q133" s="130"/>
      <c r="R133" s="130"/>
      <c r="U133" s="130"/>
      <c r="V133" s="130"/>
      <c r="Y133" s="130"/>
      <c r="Z133" s="130"/>
    </row>
    <row r="134" spans="2:26" s="122" customFormat="1">
      <c r="B134" s="130"/>
      <c r="E134" s="130"/>
      <c r="F134" s="130"/>
      <c r="I134" s="130"/>
      <c r="J134" s="130"/>
      <c r="M134" s="130"/>
      <c r="N134" s="130"/>
      <c r="Q134" s="130"/>
      <c r="R134" s="130"/>
      <c r="U134" s="130"/>
      <c r="V134" s="130"/>
      <c r="Y134" s="130"/>
      <c r="Z134" s="130"/>
    </row>
    <row r="135" spans="2:26" s="122" customFormat="1">
      <c r="B135" s="130"/>
      <c r="E135" s="130"/>
      <c r="F135" s="130"/>
      <c r="I135" s="130"/>
      <c r="J135" s="130"/>
      <c r="M135" s="130"/>
      <c r="N135" s="130"/>
      <c r="Q135" s="130"/>
      <c r="R135" s="130"/>
      <c r="U135" s="130"/>
      <c r="V135" s="130"/>
      <c r="Y135" s="130"/>
      <c r="Z135" s="130"/>
    </row>
    <row r="136" spans="2:26" s="122" customFormat="1">
      <c r="B136" s="130"/>
      <c r="E136" s="130"/>
      <c r="F136" s="130"/>
      <c r="I136" s="130"/>
      <c r="J136" s="130"/>
      <c r="M136" s="130"/>
      <c r="N136" s="130"/>
      <c r="Q136" s="130"/>
      <c r="R136" s="130"/>
      <c r="U136" s="130"/>
      <c r="V136" s="130"/>
      <c r="Y136" s="130"/>
      <c r="Z136" s="130"/>
    </row>
    <row r="137" spans="2:26" s="122" customFormat="1">
      <c r="B137" s="130"/>
      <c r="E137" s="130"/>
      <c r="F137" s="130"/>
      <c r="I137" s="130"/>
      <c r="J137" s="130"/>
      <c r="M137" s="130"/>
      <c r="N137" s="130"/>
      <c r="Q137" s="130"/>
      <c r="R137" s="130"/>
      <c r="U137" s="130"/>
      <c r="V137" s="130"/>
      <c r="Y137" s="130"/>
      <c r="Z137" s="130"/>
    </row>
    <row r="138" spans="2:26" s="122" customFormat="1">
      <c r="B138" s="130"/>
      <c r="E138" s="130"/>
      <c r="F138" s="130"/>
      <c r="I138" s="130"/>
      <c r="J138" s="130"/>
      <c r="M138" s="130"/>
      <c r="N138" s="130"/>
      <c r="Q138" s="130"/>
      <c r="R138" s="130"/>
      <c r="U138" s="130"/>
      <c r="V138" s="130"/>
      <c r="Y138" s="130"/>
      <c r="Z138" s="130"/>
    </row>
    <row r="139" spans="2:26" s="122" customFormat="1">
      <c r="B139" s="130"/>
      <c r="E139" s="130"/>
      <c r="F139" s="130"/>
      <c r="I139" s="130"/>
      <c r="J139" s="130"/>
      <c r="M139" s="130"/>
      <c r="N139" s="130"/>
      <c r="Q139" s="130"/>
      <c r="R139" s="130"/>
      <c r="U139" s="130"/>
      <c r="V139" s="130"/>
      <c r="Y139" s="130"/>
      <c r="Z139" s="130"/>
    </row>
    <row r="140" spans="2:26" s="122" customFormat="1">
      <c r="B140" s="130"/>
      <c r="E140" s="130"/>
      <c r="F140" s="130"/>
      <c r="I140" s="130"/>
      <c r="J140" s="130"/>
      <c r="M140" s="130"/>
      <c r="N140" s="130"/>
      <c r="Q140" s="130"/>
      <c r="R140" s="130"/>
      <c r="U140" s="130"/>
      <c r="V140" s="130"/>
      <c r="Y140" s="130"/>
      <c r="Z140" s="130"/>
    </row>
    <row r="141" spans="2:26" s="122" customFormat="1">
      <c r="B141" s="130"/>
      <c r="E141" s="130"/>
      <c r="F141" s="130"/>
      <c r="I141" s="130"/>
      <c r="J141" s="130"/>
      <c r="M141" s="130"/>
      <c r="N141" s="130"/>
      <c r="Q141" s="130"/>
      <c r="R141" s="130"/>
      <c r="U141" s="130"/>
      <c r="V141" s="130"/>
      <c r="Y141" s="130"/>
      <c r="Z141" s="130"/>
    </row>
    <row r="142" spans="2:26" s="122" customFormat="1">
      <c r="B142" s="130"/>
      <c r="E142" s="130"/>
      <c r="F142" s="130"/>
      <c r="I142" s="130"/>
      <c r="J142" s="130"/>
      <c r="M142" s="130"/>
      <c r="N142" s="130"/>
      <c r="Q142" s="130"/>
      <c r="R142" s="130"/>
      <c r="U142" s="130"/>
      <c r="V142" s="130"/>
      <c r="Y142" s="130"/>
      <c r="Z142" s="130"/>
    </row>
    <row r="143" spans="2:26" s="122" customFormat="1">
      <c r="B143" s="130"/>
      <c r="E143" s="130"/>
      <c r="F143" s="130"/>
      <c r="I143" s="130"/>
      <c r="J143" s="130"/>
      <c r="M143" s="130"/>
      <c r="N143" s="130"/>
      <c r="Q143" s="130"/>
      <c r="R143" s="130"/>
      <c r="U143" s="130"/>
      <c r="V143" s="130"/>
      <c r="Y143" s="130"/>
      <c r="Z143" s="130"/>
    </row>
    <row r="144" spans="2:26" s="122" customFormat="1">
      <c r="B144" s="130"/>
      <c r="E144" s="130"/>
      <c r="F144" s="130"/>
      <c r="I144" s="130"/>
      <c r="J144" s="130"/>
      <c r="M144" s="130"/>
      <c r="N144" s="130"/>
      <c r="Q144" s="130"/>
      <c r="R144" s="130"/>
      <c r="U144" s="130"/>
      <c r="V144" s="130"/>
      <c r="Y144" s="130"/>
      <c r="Z144" s="130"/>
    </row>
    <row r="145" spans="2:26" s="122" customFormat="1">
      <c r="B145" s="130"/>
      <c r="E145" s="130"/>
      <c r="F145" s="130"/>
      <c r="I145" s="130"/>
      <c r="J145" s="130"/>
      <c r="M145" s="130"/>
      <c r="N145" s="130"/>
      <c r="Q145" s="130"/>
      <c r="R145" s="130"/>
      <c r="U145" s="130"/>
      <c r="V145" s="130"/>
      <c r="Y145" s="130"/>
      <c r="Z145" s="130"/>
    </row>
    <row r="146" spans="2:26" s="122" customFormat="1">
      <c r="B146" s="130"/>
      <c r="E146" s="130"/>
      <c r="F146" s="130"/>
      <c r="I146" s="130"/>
      <c r="J146" s="130"/>
      <c r="M146" s="130"/>
      <c r="N146" s="130"/>
      <c r="Q146" s="130"/>
      <c r="R146" s="130"/>
      <c r="U146" s="130"/>
      <c r="V146" s="130"/>
      <c r="Y146" s="130"/>
      <c r="Z146" s="130"/>
    </row>
    <row r="147" spans="2:26" s="122" customFormat="1">
      <c r="B147" s="130"/>
      <c r="E147" s="130"/>
      <c r="F147" s="130"/>
      <c r="I147" s="130"/>
      <c r="J147" s="130"/>
      <c r="M147" s="130"/>
      <c r="N147" s="130"/>
      <c r="Q147" s="130"/>
      <c r="R147" s="130"/>
      <c r="U147" s="130"/>
      <c r="V147" s="130"/>
      <c r="Y147" s="130"/>
      <c r="Z147" s="130"/>
    </row>
    <row r="148" spans="2:26" s="122" customFormat="1">
      <c r="B148" s="130"/>
      <c r="E148" s="130"/>
      <c r="F148" s="130"/>
      <c r="I148" s="130"/>
      <c r="J148" s="130"/>
      <c r="M148" s="130"/>
      <c r="N148" s="130"/>
      <c r="Q148" s="130"/>
      <c r="R148" s="130"/>
      <c r="U148" s="130"/>
      <c r="V148" s="130"/>
      <c r="Y148" s="130"/>
      <c r="Z148" s="130"/>
    </row>
    <row r="149" spans="2:26" s="122" customFormat="1">
      <c r="B149" s="130"/>
      <c r="E149" s="130"/>
      <c r="F149" s="130"/>
      <c r="I149" s="130"/>
      <c r="J149" s="130"/>
      <c r="M149" s="130"/>
      <c r="N149" s="130"/>
      <c r="Q149" s="130"/>
      <c r="R149" s="130"/>
      <c r="U149" s="130"/>
      <c r="V149" s="130"/>
      <c r="Y149" s="130"/>
      <c r="Z149" s="130"/>
    </row>
    <row r="150" spans="2:26" s="122" customFormat="1">
      <c r="B150" s="130"/>
      <c r="E150" s="130"/>
      <c r="F150" s="130"/>
      <c r="I150" s="130"/>
      <c r="J150" s="130"/>
      <c r="M150" s="130"/>
      <c r="N150" s="130"/>
      <c r="Q150" s="130"/>
      <c r="R150" s="130"/>
      <c r="U150" s="130"/>
      <c r="V150" s="130"/>
      <c r="Y150" s="130"/>
      <c r="Z150" s="130"/>
    </row>
    <row r="151" spans="2:26" s="122" customFormat="1">
      <c r="B151" s="130"/>
      <c r="E151" s="130"/>
      <c r="F151" s="130"/>
      <c r="I151" s="130"/>
      <c r="J151" s="130"/>
      <c r="M151" s="130"/>
      <c r="N151" s="130"/>
      <c r="Q151" s="130"/>
      <c r="R151" s="130"/>
      <c r="U151" s="130"/>
      <c r="V151" s="130"/>
      <c r="Y151" s="130"/>
      <c r="Z151" s="130"/>
    </row>
    <row r="152" spans="2:26" s="122" customFormat="1">
      <c r="B152" s="130"/>
      <c r="E152" s="130"/>
      <c r="F152" s="130"/>
      <c r="I152" s="130"/>
      <c r="J152" s="130"/>
      <c r="M152" s="130"/>
      <c r="N152" s="130"/>
      <c r="Q152" s="130"/>
      <c r="R152" s="130"/>
      <c r="U152" s="130"/>
      <c r="V152" s="130"/>
      <c r="Y152" s="130"/>
      <c r="Z152" s="130"/>
    </row>
    <row r="153" spans="2:26" s="122" customFormat="1">
      <c r="B153" s="130"/>
      <c r="E153" s="130"/>
      <c r="F153" s="130"/>
      <c r="I153" s="130"/>
      <c r="J153" s="130"/>
      <c r="M153" s="130"/>
      <c r="N153" s="130"/>
      <c r="Q153" s="130"/>
      <c r="R153" s="130"/>
      <c r="U153" s="130"/>
      <c r="V153" s="130"/>
      <c r="Y153" s="130"/>
      <c r="Z153" s="130"/>
    </row>
    <row r="154" spans="2:26" s="122" customFormat="1">
      <c r="B154" s="130"/>
      <c r="E154" s="130"/>
      <c r="F154" s="130"/>
      <c r="I154" s="130"/>
      <c r="J154" s="130"/>
      <c r="M154" s="130"/>
      <c r="N154" s="130"/>
      <c r="Q154" s="130"/>
      <c r="R154" s="130"/>
      <c r="U154" s="130"/>
      <c r="V154" s="130"/>
      <c r="Y154" s="130"/>
      <c r="Z154" s="130"/>
    </row>
    <row r="155" spans="2:26" s="122" customFormat="1">
      <c r="B155" s="130"/>
      <c r="E155" s="130"/>
      <c r="F155" s="130"/>
      <c r="I155" s="130"/>
      <c r="J155" s="130"/>
      <c r="M155" s="130"/>
      <c r="N155" s="130"/>
      <c r="Q155" s="130"/>
      <c r="R155" s="130"/>
      <c r="U155" s="130"/>
      <c r="V155" s="130"/>
      <c r="Y155" s="130"/>
      <c r="Z155" s="130"/>
    </row>
    <row r="156" spans="2:26" s="122" customFormat="1">
      <c r="B156" s="130"/>
      <c r="E156" s="130"/>
      <c r="F156" s="130"/>
      <c r="I156" s="130"/>
      <c r="J156" s="130"/>
      <c r="M156" s="130"/>
      <c r="N156" s="130"/>
      <c r="Q156" s="130"/>
      <c r="R156" s="130"/>
      <c r="U156" s="130"/>
      <c r="V156" s="130"/>
      <c r="Y156" s="130"/>
      <c r="Z156" s="130"/>
    </row>
    <row r="157" spans="2:26" s="122" customFormat="1">
      <c r="B157" s="130"/>
      <c r="E157" s="130"/>
      <c r="F157" s="130"/>
      <c r="I157" s="130"/>
      <c r="J157" s="130"/>
      <c r="M157" s="130"/>
      <c r="N157" s="130"/>
      <c r="Q157" s="130"/>
      <c r="R157" s="130"/>
      <c r="U157" s="130"/>
      <c r="V157" s="130"/>
      <c r="Y157" s="130"/>
      <c r="Z157" s="130"/>
    </row>
    <row r="158" spans="2:26" s="122" customFormat="1">
      <c r="B158" s="130"/>
      <c r="E158" s="130"/>
      <c r="F158" s="130"/>
      <c r="I158" s="130"/>
      <c r="J158" s="130"/>
      <c r="M158" s="130"/>
      <c r="N158" s="130"/>
      <c r="Q158" s="130"/>
      <c r="R158" s="130"/>
      <c r="U158" s="130"/>
      <c r="V158" s="130"/>
      <c r="Y158" s="130"/>
      <c r="Z158" s="130"/>
    </row>
    <row r="159" spans="2:26" s="122" customFormat="1">
      <c r="B159" s="130"/>
      <c r="E159" s="130"/>
      <c r="F159" s="130"/>
      <c r="I159" s="130"/>
      <c r="J159" s="130"/>
      <c r="M159" s="130"/>
      <c r="N159" s="130"/>
      <c r="Q159" s="130"/>
      <c r="R159" s="130"/>
      <c r="U159" s="130"/>
      <c r="V159" s="130"/>
      <c r="Y159" s="130"/>
      <c r="Z159" s="130"/>
    </row>
    <row r="160" spans="2:26" s="122" customFormat="1">
      <c r="B160" s="130"/>
      <c r="E160" s="130"/>
      <c r="F160" s="130"/>
      <c r="I160" s="130"/>
      <c r="J160" s="130"/>
      <c r="M160" s="130"/>
      <c r="N160" s="130"/>
      <c r="Q160" s="130"/>
      <c r="R160" s="130"/>
      <c r="U160" s="130"/>
      <c r="V160" s="130"/>
      <c r="Y160" s="130"/>
      <c r="Z160" s="130"/>
    </row>
    <row r="161" spans="2:26" s="122" customFormat="1">
      <c r="B161" s="130"/>
      <c r="E161" s="130"/>
      <c r="F161" s="130"/>
      <c r="I161" s="130"/>
      <c r="J161" s="130"/>
      <c r="M161" s="130"/>
      <c r="N161" s="130"/>
      <c r="Q161" s="130"/>
      <c r="R161" s="130"/>
      <c r="U161" s="130"/>
      <c r="V161" s="130"/>
      <c r="Y161" s="130"/>
      <c r="Z161" s="130"/>
    </row>
    <row r="162" spans="2:26" s="122" customFormat="1">
      <c r="B162" s="130"/>
      <c r="E162" s="130"/>
      <c r="F162" s="130"/>
      <c r="I162" s="130"/>
      <c r="J162" s="130"/>
      <c r="M162" s="130"/>
      <c r="N162" s="130"/>
      <c r="Q162" s="130"/>
      <c r="R162" s="130"/>
      <c r="U162" s="130"/>
      <c r="V162" s="130"/>
      <c r="Y162" s="130"/>
      <c r="Z162" s="130"/>
    </row>
    <row r="163" spans="2:26" s="122" customFormat="1">
      <c r="B163" s="130"/>
      <c r="E163" s="130"/>
      <c r="F163" s="130"/>
      <c r="I163" s="130"/>
      <c r="J163" s="130"/>
      <c r="M163" s="130"/>
      <c r="N163" s="130"/>
      <c r="Q163" s="130"/>
      <c r="R163" s="130"/>
      <c r="U163" s="130"/>
      <c r="V163" s="130"/>
      <c r="Y163" s="130"/>
      <c r="Z163" s="130"/>
    </row>
    <row r="164" spans="2:26" s="122" customFormat="1">
      <c r="B164" s="130"/>
      <c r="E164" s="130"/>
      <c r="F164" s="130"/>
      <c r="I164" s="130"/>
      <c r="J164" s="130"/>
      <c r="M164" s="130"/>
      <c r="N164" s="130"/>
      <c r="Q164" s="130"/>
      <c r="R164" s="130"/>
      <c r="U164" s="130"/>
      <c r="V164" s="130"/>
      <c r="Y164" s="130"/>
      <c r="Z164" s="130"/>
    </row>
    <row r="165" spans="2:26" s="122" customFormat="1">
      <c r="B165" s="130"/>
      <c r="E165" s="130"/>
      <c r="F165" s="130"/>
      <c r="I165" s="130"/>
      <c r="J165" s="130"/>
      <c r="M165" s="130"/>
      <c r="N165" s="130"/>
      <c r="Q165" s="130"/>
      <c r="R165" s="130"/>
      <c r="U165" s="130"/>
      <c r="V165" s="130"/>
      <c r="Y165" s="130"/>
      <c r="Z165" s="130"/>
    </row>
    <row r="166" spans="2:26" s="122" customFormat="1">
      <c r="B166" s="130"/>
      <c r="E166" s="130"/>
      <c r="F166" s="130"/>
      <c r="I166" s="130"/>
      <c r="J166" s="130"/>
      <c r="M166" s="130"/>
      <c r="N166" s="130"/>
      <c r="Q166" s="130"/>
      <c r="R166" s="130"/>
      <c r="U166" s="130"/>
      <c r="V166" s="130"/>
      <c r="Y166" s="130"/>
      <c r="Z166" s="130"/>
    </row>
    <row r="167" spans="2:26" s="122" customFormat="1">
      <c r="B167" s="130"/>
      <c r="E167" s="130"/>
      <c r="F167" s="130"/>
      <c r="I167" s="130"/>
      <c r="J167" s="130"/>
      <c r="M167" s="130"/>
      <c r="N167" s="130"/>
      <c r="Q167" s="130"/>
      <c r="R167" s="130"/>
      <c r="U167" s="130"/>
      <c r="V167" s="130"/>
      <c r="Y167" s="130"/>
      <c r="Z167" s="130"/>
    </row>
    <row r="168" spans="2:26" s="122" customFormat="1">
      <c r="B168" s="130"/>
      <c r="E168" s="130"/>
      <c r="F168" s="130"/>
      <c r="I168" s="130"/>
      <c r="J168" s="130"/>
      <c r="M168" s="130"/>
      <c r="N168" s="130"/>
      <c r="Q168" s="130"/>
      <c r="R168" s="130"/>
      <c r="U168" s="130"/>
      <c r="V168" s="130"/>
      <c r="Y168" s="130"/>
      <c r="Z168" s="130"/>
    </row>
    <row r="169" spans="2:26" s="122" customFormat="1">
      <c r="B169" s="130"/>
      <c r="E169" s="130"/>
      <c r="F169" s="130"/>
      <c r="I169" s="130"/>
      <c r="J169" s="130"/>
      <c r="M169" s="130"/>
      <c r="N169" s="130"/>
      <c r="Q169" s="130"/>
      <c r="R169" s="130"/>
      <c r="U169" s="130"/>
      <c r="V169" s="130"/>
      <c r="Y169" s="130"/>
      <c r="Z169" s="130"/>
    </row>
    <row r="170" spans="2:26" s="122" customFormat="1">
      <c r="B170" s="130"/>
      <c r="E170" s="130"/>
      <c r="F170" s="130"/>
      <c r="I170" s="130"/>
      <c r="J170" s="130"/>
      <c r="M170" s="130"/>
      <c r="N170" s="130"/>
      <c r="Q170" s="130"/>
      <c r="R170" s="130"/>
      <c r="U170" s="130"/>
      <c r="V170" s="130"/>
      <c r="Y170" s="130"/>
      <c r="Z170" s="130"/>
    </row>
    <row r="171" spans="2:26" s="122" customFormat="1">
      <c r="B171" s="130"/>
      <c r="E171" s="130"/>
      <c r="F171" s="130"/>
      <c r="I171" s="130"/>
      <c r="J171" s="130"/>
      <c r="M171" s="130"/>
      <c r="N171" s="130"/>
      <c r="Q171" s="130"/>
      <c r="R171" s="130"/>
      <c r="U171" s="130"/>
      <c r="V171" s="130"/>
      <c r="Y171" s="130"/>
      <c r="Z171" s="130"/>
    </row>
    <row r="172" spans="2:26" s="122" customFormat="1">
      <c r="B172" s="130"/>
      <c r="E172" s="130"/>
      <c r="F172" s="130"/>
      <c r="I172" s="130"/>
      <c r="J172" s="130"/>
      <c r="M172" s="130"/>
      <c r="N172" s="130"/>
      <c r="Q172" s="130"/>
      <c r="R172" s="130"/>
      <c r="U172" s="130"/>
      <c r="V172" s="130"/>
      <c r="Y172" s="130"/>
      <c r="Z172" s="130"/>
    </row>
    <row r="173" spans="2:26" s="122" customFormat="1">
      <c r="B173" s="130"/>
      <c r="E173" s="130"/>
      <c r="F173" s="130"/>
      <c r="I173" s="130"/>
      <c r="J173" s="130"/>
      <c r="M173" s="130"/>
      <c r="N173" s="130"/>
      <c r="Q173" s="130"/>
      <c r="R173" s="130"/>
      <c r="U173" s="130"/>
      <c r="V173" s="130"/>
      <c r="Y173" s="130"/>
      <c r="Z173" s="130"/>
    </row>
    <row r="174" spans="2:26" s="122" customFormat="1">
      <c r="B174" s="130"/>
      <c r="E174" s="130"/>
      <c r="F174" s="130"/>
      <c r="I174" s="130"/>
      <c r="J174" s="130"/>
      <c r="M174" s="130"/>
      <c r="N174" s="130"/>
      <c r="Q174" s="130"/>
      <c r="R174" s="130"/>
      <c r="U174" s="130"/>
      <c r="V174" s="130"/>
      <c r="Y174" s="130"/>
      <c r="Z174" s="130"/>
    </row>
    <row r="175" spans="2:26" s="122" customFormat="1">
      <c r="B175" s="130"/>
      <c r="E175" s="130"/>
      <c r="F175" s="130"/>
      <c r="I175" s="130"/>
      <c r="J175" s="130"/>
      <c r="M175" s="130"/>
      <c r="N175" s="130"/>
      <c r="Q175" s="130"/>
      <c r="R175" s="130"/>
      <c r="U175" s="130"/>
      <c r="V175" s="130"/>
      <c r="Y175" s="130"/>
      <c r="Z175" s="130"/>
    </row>
    <row r="176" spans="2:26" s="122" customFormat="1">
      <c r="B176" s="130"/>
      <c r="E176" s="130"/>
      <c r="F176" s="130"/>
      <c r="I176" s="130"/>
      <c r="J176" s="130"/>
      <c r="M176" s="130"/>
      <c r="N176" s="130"/>
      <c r="Q176" s="130"/>
      <c r="R176" s="130"/>
      <c r="U176" s="130"/>
      <c r="V176" s="130"/>
      <c r="Y176" s="130"/>
      <c r="Z176" s="130"/>
    </row>
    <row r="177" spans="2:26" s="122" customFormat="1">
      <c r="B177" s="130"/>
      <c r="E177" s="130"/>
      <c r="F177" s="130"/>
      <c r="I177" s="130"/>
      <c r="J177" s="130"/>
      <c r="M177" s="130"/>
      <c r="N177" s="130"/>
      <c r="Q177" s="130"/>
      <c r="R177" s="130"/>
      <c r="U177" s="130"/>
      <c r="V177" s="130"/>
      <c r="Y177" s="130"/>
      <c r="Z177" s="130"/>
    </row>
    <row r="178" spans="2:26" s="122" customFormat="1">
      <c r="B178" s="130"/>
      <c r="E178" s="130"/>
      <c r="F178" s="130"/>
      <c r="I178" s="130"/>
      <c r="J178" s="130"/>
      <c r="M178" s="130"/>
      <c r="N178" s="130"/>
      <c r="Q178" s="130"/>
      <c r="R178" s="130"/>
      <c r="U178" s="130"/>
      <c r="V178" s="130"/>
      <c r="Y178" s="130"/>
      <c r="Z178" s="130"/>
    </row>
    <row r="179" spans="2:26" s="122" customFormat="1">
      <c r="B179" s="130"/>
      <c r="E179" s="130"/>
      <c r="F179" s="130"/>
      <c r="I179" s="130"/>
      <c r="J179" s="130"/>
      <c r="M179" s="130"/>
      <c r="N179" s="130"/>
      <c r="Q179" s="130"/>
      <c r="R179" s="130"/>
      <c r="U179" s="130"/>
      <c r="V179" s="130"/>
      <c r="Y179" s="130"/>
      <c r="Z179" s="130"/>
    </row>
    <row r="180" spans="2:26" s="122" customFormat="1">
      <c r="B180" s="130"/>
      <c r="E180" s="130"/>
      <c r="F180" s="130"/>
      <c r="I180" s="130"/>
      <c r="J180" s="130"/>
      <c r="M180" s="130"/>
      <c r="N180" s="130"/>
      <c r="Q180" s="130"/>
      <c r="R180" s="130"/>
      <c r="U180" s="130"/>
      <c r="V180" s="130"/>
      <c r="Y180" s="130"/>
      <c r="Z180" s="130"/>
    </row>
    <row r="181" spans="2:26" s="122" customFormat="1">
      <c r="B181" s="130"/>
      <c r="E181" s="130"/>
      <c r="F181" s="130"/>
      <c r="I181" s="130"/>
      <c r="J181" s="130"/>
      <c r="M181" s="130"/>
      <c r="N181" s="130"/>
      <c r="Q181" s="130"/>
      <c r="R181" s="130"/>
      <c r="U181" s="130"/>
      <c r="V181" s="130"/>
      <c r="Y181" s="130"/>
      <c r="Z181" s="130"/>
    </row>
    <row r="182" spans="2:26" s="122" customFormat="1">
      <c r="B182" s="130"/>
      <c r="E182" s="130"/>
      <c r="F182" s="130"/>
      <c r="I182" s="130"/>
      <c r="J182" s="130"/>
      <c r="M182" s="130"/>
      <c r="N182" s="130"/>
      <c r="Q182" s="130"/>
      <c r="R182" s="130"/>
      <c r="U182" s="130"/>
      <c r="V182" s="130"/>
      <c r="Y182" s="130"/>
      <c r="Z182" s="130"/>
    </row>
    <row r="183" spans="2:26" s="122" customFormat="1">
      <c r="B183" s="130"/>
      <c r="E183" s="130"/>
      <c r="F183" s="130"/>
      <c r="I183" s="130"/>
      <c r="J183" s="130"/>
      <c r="M183" s="130"/>
      <c r="N183" s="130"/>
      <c r="Q183" s="130"/>
      <c r="R183" s="130"/>
      <c r="U183" s="130"/>
      <c r="V183" s="130"/>
      <c r="Y183" s="130"/>
      <c r="Z183" s="130"/>
    </row>
    <row r="184" spans="2:26" s="122" customFormat="1">
      <c r="B184" s="130"/>
      <c r="E184" s="130"/>
      <c r="F184" s="130"/>
      <c r="I184" s="130"/>
      <c r="J184" s="130"/>
      <c r="M184" s="130"/>
      <c r="N184" s="130"/>
      <c r="Q184" s="130"/>
      <c r="R184" s="130"/>
      <c r="U184" s="130"/>
      <c r="V184" s="130"/>
      <c r="Y184" s="130"/>
      <c r="Z184" s="130"/>
    </row>
    <row r="185" spans="2:26" s="122" customFormat="1">
      <c r="B185" s="130"/>
      <c r="E185" s="130"/>
      <c r="F185" s="130"/>
      <c r="I185" s="130"/>
      <c r="J185" s="130"/>
      <c r="M185" s="130"/>
      <c r="N185" s="130"/>
      <c r="Q185" s="130"/>
      <c r="R185" s="130"/>
      <c r="U185" s="130"/>
      <c r="V185" s="130"/>
      <c r="Y185" s="130"/>
      <c r="Z185" s="130"/>
    </row>
    <row r="186" spans="2:26" s="122" customFormat="1">
      <c r="B186" s="130"/>
      <c r="E186" s="130"/>
      <c r="F186" s="130"/>
      <c r="I186" s="130"/>
      <c r="J186" s="130"/>
      <c r="M186" s="130"/>
      <c r="N186" s="130"/>
      <c r="Q186" s="130"/>
      <c r="R186" s="130"/>
      <c r="U186" s="130"/>
      <c r="V186" s="130"/>
      <c r="Y186" s="130"/>
      <c r="Z186" s="130"/>
    </row>
    <row r="187" spans="2:26" s="122" customFormat="1">
      <c r="B187" s="130"/>
      <c r="E187" s="130"/>
      <c r="F187" s="130"/>
      <c r="I187" s="130"/>
      <c r="J187" s="130"/>
      <c r="M187" s="130"/>
      <c r="N187" s="130"/>
      <c r="Q187" s="130"/>
      <c r="R187" s="130"/>
      <c r="U187" s="130"/>
      <c r="V187" s="130"/>
      <c r="Y187" s="130"/>
      <c r="Z187" s="130"/>
    </row>
    <row r="188" spans="2:26" s="122" customFormat="1">
      <c r="B188" s="130"/>
      <c r="E188" s="130"/>
      <c r="F188" s="130"/>
      <c r="I188" s="130"/>
      <c r="J188" s="130"/>
      <c r="M188" s="130"/>
      <c r="N188" s="130"/>
      <c r="Q188" s="130"/>
      <c r="R188" s="130"/>
      <c r="U188" s="130"/>
      <c r="V188" s="130"/>
      <c r="Y188" s="130"/>
      <c r="Z188" s="130"/>
    </row>
    <row r="189" spans="2:26" s="122" customFormat="1">
      <c r="B189" s="130"/>
      <c r="E189" s="130"/>
      <c r="F189" s="130"/>
      <c r="I189" s="130"/>
      <c r="J189" s="130"/>
      <c r="M189" s="130"/>
      <c r="N189" s="130"/>
      <c r="Q189" s="130"/>
      <c r="R189" s="130"/>
      <c r="U189" s="130"/>
      <c r="V189" s="130"/>
      <c r="Y189" s="130"/>
      <c r="Z189" s="130"/>
    </row>
    <row r="190" spans="2:26" s="122" customFormat="1">
      <c r="B190" s="130"/>
      <c r="E190" s="130"/>
      <c r="F190" s="130"/>
      <c r="I190" s="130"/>
      <c r="J190" s="130"/>
      <c r="M190" s="130"/>
      <c r="N190" s="130"/>
      <c r="Q190" s="130"/>
      <c r="R190" s="130"/>
      <c r="U190" s="130"/>
      <c r="V190" s="130"/>
      <c r="Y190" s="130"/>
      <c r="Z190" s="130"/>
    </row>
    <row r="191" spans="2:26" s="122" customFormat="1">
      <c r="B191" s="130"/>
      <c r="E191" s="130"/>
      <c r="F191" s="130"/>
      <c r="I191" s="130"/>
      <c r="J191" s="130"/>
      <c r="M191" s="130"/>
      <c r="N191" s="130"/>
      <c r="Q191" s="130"/>
      <c r="R191" s="130"/>
      <c r="U191" s="130"/>
      <c r="V191" s="130"/>
      <c r="Y191" s="130"/>
      <c r="Z191" s="130"/>
    </row>
    <row r="192" spans="2:26" s="122" customFormat="1">
      <c r="B192" s="130"/>
      <c r="E192" s="130"/>
      <c r="F192" s="130"/>
      <c r="I192" s="130"/>
      <c r="J192" s="130"/>
      <c r="M192" s="130"/>
      <c r="N192" s="130"/>
      <c r="Q192" s="130"/>
      <c r="R192" s="130"/>
      <c r="U192" s="130"/>
      <c r="V192" s="130"/>
      <c r="Y192" s="130"/>
      <c r="Z192" s="130"/>
    </row>
    <row r="193" spans="2:26" s="122" customFormat="1">
      <c r="B193" s="130"/>
      <c r="E193" s="130"/>
      <c r="F193" s="130"/>
      <c r="I193" s="130"/>
      <c r="J193" s="130"/>
      <c r="M193" s="130"/>
      <c r="N193" s="130"/>
      <c r="Q193" s="130"/>
      <c r="R193" s="130"/>
      <c r="U193" s="130"/>
      <c r="V193" s="130"/>
      <c r="Y193" s="130"/>
      <c r="Z193" s="130"/>
    </row>
    <row r="194" spans="2:26" s="122" customFormat="1">
      <c r="B194" s="130"/>
      <c r="E194" s="130"/>
      <c r="F194" s="130"/>
      <c r="I194" s="130"/>
      <c r="J194" s="130"/>
      <c r="M194" s="130"/>
      <c r="N194" s="130"/>
      <c r="Q194" s="130"/>
      <c r="R194" s="130"/>
      <c r="U194" s="130"/>
      <c r="V194" s="130"/>
      <c r="Y194" s="130"/>
      <c r="Z194" s="130"/>
    </row>
    <row r="195" spans="2:26" s="122" customFormat="1">
      <c r="B195" s="130"/>
      <c r="E195" s="130"/>
      <c r="F195" s="130"/>
      <c r="I195" s="130"/>
      <c r="J195" s="130"/>
      <c r="M195" s="130"/>
      <c r="N195" s="130"/>
      <c r="Q195" s="130"/>
      <c r="R195" s="130"/>
      <c r="U195" s="130"/>
      <c r="V195" s="130"/>
      <c r="Y195" s="130"/>
      <c r="Z195" s="130"/>
    </row>
    <row r="196" spans="2:26" s="122" customFormat="1">
      <c r="B196" s="130"/>
      <c r="E196" s="130"/>
      <c r="F196" s="130"/>
      <c r="I196" s="130"/>
      <c r="J196" s="130"/>
      <c r="M196" s="130"/>
      <c r="N196" s="130"/>
      <c r="Q196" s="130"/>
      <c r="R196" s="130"/>
      <c r="U196" s="130"/>
      <c r="V196" s="130"/>
      <c r="Y196" s="130"/>
      <c r="Z196" s="130"/>
    </row>
    <row r="197" spans="2:26" s="122" customFormat="1">
      <c r="B197" s="130"/>
      <c r="E197" s="130"/>
      <c r="F197" s="130"/>
      <c r="I197" s="130"/>
      <c r="J197" s="130"/>
      <c r="M197" s="130"/>
      <c r="N197" s="130"/>
      <c r="Q197" s="130"/>
      <c r="R197" s="130"/>
      <c r="U197" s="130"/>
      <c r="V197" s="130"/>
      <c r="Y197" s="130"/>
      <c r="Z197" s="130"/>
    </row>
    <row r="198" spans="2:26" s="122" customFormat="1">
      <c r="B198" s="130"/>
      <c r="E198" s="130"/>
      <c r="F198" s="130"/>
      <c r="I198" s="130"/>
      <c r="J198" s="130"/>
      <c r="M198" s="130"/>
      <c r="N198" s="130"/>
      <c r="Q198" s="130"/>
      <c r="R198" s="130"/>
      <c r="U198" s="130"/>
      <c r="V198" s="130"/>
      <c r="Y198" s="130"/>
      <c r="Z198" s="130"/>
    </row>
    <row r="199" spans="2:26" s="122" customFormat="1">
      <c r="B199" s="130"/>
      <c r="E199" s="130"/>
      <c r="F199" s="130"/>
      <c r="I199" s="130"/>
      <c r="J199" s="130"/>
      <c r="M199" s="130"/>
      <c r="N199" s="130"/>
      <c r="Q199" s="130"/>
      <c r="R199" s="130"/>
      <c r="U199" s="130"/>
      <c r="V199" s="130"/>
      <c r="Y199" s="130"/>
      <c r="Z199" s="130"/>
    </row>
    <row r="200" spans="2:26" s="122" customFormat="1">
      <c r="B200" s="130"/>
      <c r="E200" s="130"/>
      <c r="F200" s="130"/>
      <c r="I200" s="130"/>
      <c r="J200" s="130"/>
      <c r="M200" s="130"/>
      <c r="N200" s="130"/>
      <c r="Q200" s="130"/>
      <c r="R200" s="130"/>
      <c r="U200" s="130"/>
      <c r="V200" s="130"/>
      <c r="Y200" s="130"/>
      <c r="Z200" s="130"/>
    </row>
    <row r="201" spans="2:26" s="122" customFormat="1">
      <c r="B201" s="130"/>
      <c r="E201" s="130"/>
      <c r="F201" s="130"/>
      <c r="I201" s="130"/>
      <c r="J201" s="130"/>
      <c r="M201" s="130"/>
      <c r="N201" s="130"/>
      <c r="Q201" s="130"/>
      <c r="R201" s="130"/>
      <c r="U201" s="130"/>
      <c r="V201" s="130"/>
      <c r="Y201" s="130"/>
      <c r="Z201" s="130"/>
    </row>
    <row r="202" spans="2:26" s="122" customFormat="1">
      <c r="B202" s="130"/>
      <c r="E202" s="130"/>
      <c r="F202" s="130"/>
      <c r="I202" s="130"/>
      <c r="J202" s="130"/>
      <c r="M202" s="130"/>
      <c r="N202" s="130"/>
      <c r="Q202" s="130"/>
      <c r="R202" s="130"/>
      <c r="U202" s="130"/>
      <c r="V202" s="130"/>
      <c r="Y202" s="130"/>
      <c r="Z202" s="130"/>
    </row>
    <row r="203" spans="2:26" s="122" customFormat="1">
      <c r="B203" s="130"/>
      <c r="E203" s="130"/>
      <c r="F203" s="130"/>
      <c r="I203" s="130"/>
      <c r="J203" s="130"/>
      <c r="M203" s="130"/>
      <c r="N203" s="130"/>
      <c r="Q203" s="130"/>
      <c r="R203" s="130"/>
      <c r="U203" s="130"/>
      <c r="V203" s="130"/>
      <c r="Y203" s="130"/>
      <c r="Z203" s="130"/>
    </row>
    <row r="204" spans="2:26" s="122" customFormat="1">
      <c r="B204" s="130"/>
      <c r="E204" s="130"/>
      <c r="F204" s="130"/>
      <c r="I204" s="130"/>
      <c r="J204" s="130"/>
      <c r="M204" s="130"/>
      <c r="N204" s="130"/>
      <c r="Q204" s="130"/>
      <c r="R204" s="130"/>
      <c r="U204" s="130"/>
      <c r="V204" s="130"/>
      <c r="Y204" s="130"/>
      <c r="Z204" s="130"/>
    </row>
    <row r="205" spans="2:26" s="122" customFormat="1">
      <c r="B205" s="130"/>
      <c r="E205" s="130"/>
      <c r="F205" s="130"/>
      <c r="I205" s="130"/>
      <c r="J205" s="130"/>
      <c r="M205" s="130"/>
      <c r="N205" s="130"/>
      <c r="Q205" s="130"/>
      <c r="R205" s="130"/>
      <c r="U205" s="130"/>
      <c r="V205" s="130"/>
      <c r="Y205" s="130"/>
      <c r="Z205" s="130"/>
    </row>
    <row r="206" spans="2:26" s="122" customFormat="1">
      <c r="B206" s="130"/>
      <c r="E206" s="130"/>
      <c r="F206" s="130"/>
      <c r="I206" s="130"/>
      <c r="J206" s="130"/>
      <c r="M206" s="130"/>
      <c r="N206" s="130"/>
      <c r="Q206" s="130"/>
      <c r="R206" s="130"/>
      <c r="U206" s="130"/>
      <c r="V206" s="130"/>
      <c r="Y206" s="130"/>
      <c r="Z206" s="130"/>
    </row>
    <row r="207" spans="2:26" s="122" customFormat="1">
      <c r="B207" s="130"/>
      <c r="E207" s="130"/>
      <c r="F207" s="130"/>
      <c r="I207" s="130"/>
      <c r="J207" s="130"/>
      <c r="M207" s="130"/>
      <c r="N207" s="130"/>
      <c r="Q207" s="130"/>
      <c r="R207" s="130"/>
      <c r="U207" s="130"/>
      <c r="V207" s="130"/>
      <c r="Y207" s="130"/>
      <c r="Z207" s="130"/>
    </row>
    <row r="208" spans="2:26" s="122" customFormat="1">
      <c r="B208" s="130"/>
      <c r="E208" s="130"/>
      <c r="F208" s="130"/>
      <c r="I208" s="130"/>
      <c r="J208" s="130"/>
      <c r="M208" s="130"/>
      <c r="N208" s="130"/>
      <c r="Q208" s="130"/>
      <c r="R208" s="130"/>
      <c r="U208" s="130"/>
      <c r="V208" s="130"/>
      <c r="Y208" s="130"/>
      <c r="Z208" s="130"/>
    </row>
    <row r="209" spans="2:26" s="122" customFormat="1">
      <c r="B209" s="130"/>
      <c r="E209" s="130"/>
      <c r="F209" s="130"/>
      <c r="I209" s="130"/>
      <c r="J209" s="130"/>
      <c r="M209" s="130"/>
      <c r="N209" s="130"/>
      <c r="Q209" s="130"/>
      <c r="R209" s="130"/>
      <c r="U209" s="130"/>
      <c r="V209" s="130"/>
      <c r="Y209" s="130"/>
      <c r="Z209" s="130"/>
    </row>
    <row r="210" spans="2:26" s="122" customFormat="1">
      <c r="B210" s="130"/>
      <c r="E210" s="130"/>
      <c r="F210" s="130"/>
      <c r="I210" s="130"/>
      <c r="J210" s="130"/>
      <c r="M210" s="130"/>
      <c r="N210" s="130"/>
      <c r="Q210" s="130"/>
      <c r="R210" s="130"/>
      <c r="U210" s="130"/>
      <c r="V210" s="130"/>
      <c r="Y210" s="130"/>
      <c r="Z210" s="130"/>
    </row>
    <row r="211" spans="2:26" s="122" customFormat="1">
      <c r="B211" s="130"/>
      <c r="E211" s="130"/>
      <c r="F211" s="130"/>
      <c r="I211" s="130"/>
      <c r="J211" s="130"/>
      <c r="M211" s="130"/>
      <c r="N211" s="130"/>
      <c r="Q211" s="130"/>
      <c r="R211" s="130"/>
      <c r="U211" s="130"/>
      <c r="V211" s="130"/>
      <c r="Y211" s="130"/>
      <c r="Z211" s="130"/>
    </row>
    <row r="212" spans="2:26" s="122" customFormat="1">
      <c r="B212" s="130"/>
      <c r="E212" s="130"/>
      <c r="F212" s="130"/>
      <c r="I212" s="130"/>
      <c r="J212" s="130"/>
      <c r="M212" s="130"/>
      <c r="N212" s="130"/>
      <c r="Q212" s="130"/>
      <c r="R212" s="130"/>
      <c r="U212" s="130"/>
      <c r="V212" s="130"/>
      <c r="Y212" s="130"/>
      <c r="Z212" s="130"/>
    </row>
    <row r="213" spans="2:26" s="122" customFormat="1">
      <c r="B213" s="130"/>
      <c r="E213" s="130"/>
      <c r="F213" s="130"/>
      <c r="I213" s="130"/>
      <c r="J213" s="130"/>
      <c r="M213" s="130"/>
      <c r="N213" s="130"/>
      <c r="Q213" s="130"/>
      <c r="R213" s="130"/>
      <c r="U213" s="130"/>
      <c r="V213" s="130"/>
      <c r="Y213" s="130"/>
      <c r="Z213" s="130"/>
    </row>
    <row r="214" spans="2:26" s="122" customFormat="1">
      <c r="B214" s="130"/>
      <c r="E214" s="130"/>
      <c r="F214" s="130"/>
      <c r="I214" s="130"/>
      <c r="J214" s="130"/>
      <c r="M214" s="130"/>
      <c r="N214" s="130"/>
      <c r="Q214" s="130"/>
      <c r="R214" s="130"/>
      <c r="U214" s="130"/>
      <c r="V214" s="130"/>
      <c r="Y214" s="130"/>
      <c r="Z214" s="130"/>
    </row>
    <row r="215" spans="2:26" s="122" customFormat="1">
      <c r="B215" s="130"/>
      <c r="E215" s="130"/>
      <c r="F215" s="130"/>
      <c r="I215" s="130"/>
      <c r="J215" s="130"/>
      <c r="M215" s="130"/>
      <c r="N215" s="130"/>
      <c r="Q215" s="130"/>
      <c r="R215" s="130"/>
      <c r="U215" s="130"/>
      <c r="V215" s="130"/>
      <c r="Y215" s="130"/>
      <c r="Z215" s="130"/>
    </row>
    <row r="216" spans="2:26" s="122" customFormat="1">
      <c r="B216" s="130"/>
      <c r="E216" s="130"/>
      <c r="F216" s="130"/>
      <c r="I216" s="130"/>
      <c r="J216" s="130"/>
      <c r="M216" s="130"/>
      <c r="N216" s="130"/>
      <c r="Q216" s="130"/>
      <c r="R216" s="130"/>
      <c r="U216" s="130"/>
      <c r="V216" s="130"/>
      <c r="Y216" s="130"/>
      <c r="Z216" s="130"/>
    </row>
    <row r="217" spans="2:26" s="122" customFormat="1">
      <c r="B217" s="130"/>
      <c r="E217" s="130"/>
      <c r="F217" s="130"/>
      <c r="I217" s="130"/>
      <c r="J217" s="130"/>
      <c r="M217" s="130"/>
      <c r="N217" s="130"/>
      <c r="Q217" s="130"/>
      <c r="R217" s="130"/>
      <c r="U217" s="130"/>
      <c r="V217" s="130"/>
      <c r="Y217" s="130"/>
      <c r="Z217" s="130"/>
    </row>
    <row r="218" spans="2:26" s="122" customFormat="1">
      <c r="B218" s="130"/>
      <c r="E218" s="130"/>
      <c r="F218" s="130"/>
      <c r="I218" s="130"/>
      <c r="J218" s="130"/>
      <c r="M218" s="130"/>
      <c r="N218" s="130"/>
      <c r="Q218" s="130"/>
      <c r="R218" s="130"/>
      <c r="U218" s="130"/>
      <c r="V218" s="130"/>
      <c r="Y218" s="130"/>
      <c r="Z218" s="130"/>
    </row>
    <row r="219" spans="2:26" s="122" customFormat="1">
      <c r="B219" s="130"/>
      <c r="E219" s="130"/>
      <c r="F219" s="130"/>
      <c r="I219" s="130"/>
      <c r="J219" s="130"/>
      <c r="M219" s="130"/>
      <c r="N219" s="130"/>
      <c r="Q219" s="130"/>
      <c r="R219" s="130"/>
      <c r="U219" s="130"/>
      <c r="V219" s="130"/>
      <c r="Y219" s="130"/>
      <c r="Z219" s="130"/>
    </row>
    <row r="220" spans="2:26" s="122" customFormat="1">
      <c r="B220" s="130"/>
      <c r="E220" s="130"/>
      <c r="F220" s="130"/>
      <c r="I220" s="130"/>
      <c r="J220" s="130"/>
      <c r="M220" s="130"/>
      <c r="N220" s="130"/>
      <c r="Q220" s="130"/>
      <c r="R220" s="130"/>
      <c r="U220" s="130"/>
      <c r="V220" s="130"/>
      <c r="Y220" s="130"/>
      <c r="Z220" s="130"/>
    </row>
    <row r="221" spans="2:26" s="122" customFormat="1">
      <c r="B221" s="130"/>
      <c r="E221" s="130"/>
      <c r="F221" s="130"/>
      <c r="I221" s="130"/>
      <c r="J221" s="130"/>
      <c r="M221" s="130"/>
      <c r="N221" s="130"/>
      <c r="Q221" s="130"/>
      <c r="R221" s="130"/>
      <c r="U221" s="130"/>
      <c r="V221" s="130"/>
      <c r="Y221" s="130"/>
      <c r="Z221" s="130"/>
    </row>
    <row r="222" spans="2:26" s="122" customFormat="1">
      <c r="B222" s="130"/>
      <c r="E222" s="130"/>
      <c r="F222" s="130"/>
      <c r="I222" s="130"/>
      <c r="J222" s="130"/>
      <c r="M222" s="130"/>
      <c r="N222" s="130"/>
      <c r="Q222" s="130"/>
      <c r="R222" s="130"/>
      <c r="U222" s="130"/>
      <c r="V222" s="130"/>
      <c r="Y222" s="130"/>
      <c r="Z222" s="130"/>
    </row>
    <row r="223" spans="2:26" s="122" customFormat="1">
      <c r="B223" s="130"/>
      <c r="E223" s="130"/>
      <c r="F223" s="130"/>
      <c r="I223" s="130"/>
      <c r="J223" s="130"/>
      <c r="M223" s="130"/>
      <c r="N223" s="130"/>
      <c r="Q223" s="130"/>
      <c r="R223" s="130"/>
      <c r="U223" s="130"/>
      <c r="V223" s="130"/>
      <c r="Y223" s="130"/>
      <c r="Z223" s="130"/>
    </row>
    <row r="224" spans="2:26" s="122" customFormat="1">
      <c r="B224" s="130"/>
      <c r="E224" s="130"/>
      <c r="F224" s="130"/>
      <c r="I224" s="130"/>
      <c r="J224" s="130"/>
      <c r="M224" s="130"/>
      <c r="N224" s="130"/>
      <c r="Q224" s="130"/>
      <c r="R224" s="130"/>
      <c r="U224" s="130"/>
      <c r="V224" s="130"/>
      <c r="Y224" s="130"/>
      <c r="Z224" s="130"/>
    </row>
    <row r="225" spans="2:26" s="122" customFormat="1">
      <c r="B225" s="130"/>
      <c r="E225" s="130"/>
      <c r="F225" s="130"/>
      <c r="I225" s="130"/>
      <c r="J225" s="130"/>
      <c r="M225" s="130"/>
      <c r="N225" s="130"/>
      <c r="Q225" s="130"/>
      <c r="R225" s="130"/>
      <c r="U225" s="130"/>
      <c r="V225" s="130"/>
      <c r="Y225" s="130"/>
      <c r="Z225" s="130"/>
    </row>
    <row r="226" spans="2:26" s="122" customFormat="1">
      <c r="B226" s="130"/>
      <c r="E226" s="130"/>
      <c r="F226" s="130"/>
      <c r="I226" s="130"/>
      <c r="J226" s="130"/>
      <c r="M226" s="130"/>
      <c r="N226" s="130"/>
      <c r="Q226" s="130"/>
      <c r="R226" s="130"/>
      <c r="U226" s="130"/>
      <c r="V226" s="130"/>
      <c r="Y226" s="130"/>
      <c r="Z226" s="130"/>
    </row>
    <row r="227" spans="2:26" s="122" customFormat="1">
      <c r="B227" s="130"/>
      <c r="E227" s="130"/>
      <c r="F227" s="130"/>
      <c r="I227" s="130"/>
      <c r="J227" s="130"/>
      <c r="M227" s="130"/>
      <c r="N227" s="130"/>
      <c r="Q227" s="130"/>
      <c r="R227" s="130"/>
      <c r="U227" s="130"/>
      <c r="V227" s="130"/>
      <c r="Y227" s="130"/>
      <c r="Z227" s="130"/>
    </row>
    <row r="228" spans="2:26" s="122" customFormat="1">
      <c r="B228" s="130"/>
      <c r="E228" s="130"/>
      <c r="F228" s="130"/>
      <c r="I228" s="130"/>
      <c r="J228" s="130"/>
      <c r="M228" s="130"/>
      <c r="N228" s="130"/>
      <c r="Q228" s="130"/>
      <c r="R228" s="130"/>
      <c r="U228" s="130"/>
      <c r="V228" s="130"/>
      <c r="Y228" s="130"/>
      <c r="Z228" s="130"/>
    </row>
    <row r="229" spans="2:26" s="122" customFormat="1">
      <c r="B229" s="130"/>
      <c r="E229" s="130"/>
      <c r="F229" s="130"/>
      <c r="I229" s="130"/>
      <c r="J229" s="130"/>
      <c r="M229" s="130"/>
      <c r="N229" s="130"/>
      <c r="Q229" s="130"/>
      <c r="R229" s="130"/>
      <c r="U229" s="130"/>
      <c r="V229" s="130"/>
      <c r="Y229" s="130"/>
      <c r="Z229" s="130"/>
    </row>
    <row r="230" spans="2:26" s="122" customFormat="1">
      <c r="B230" s="130"/>
      <c r="E230" s="130"/>
      <c r="F230" s="130"/>
      <c r="I230" s="130"/>
      <c r="J230" s="130"/>
      <c r="M230" s="130"/>
      <c r="N230" s="130"/>
      <c r="Q230" s="130"/>
      <c r="R230" s="130"/>
      <c r="U230" s="130"/>
      <c r="V230" s="130"/>
      <c r="Y230" s="130"/>
      <c r="Z230" s="130"/>
    </row>
    <row r="231" spans="2:26" s="122" customFormat="1">
      <c r="B231" s="130"/>
      <c r="E231" s="130"/>
      <c r="F231" s="130"/>
      <c r="I231" s="130"/>
      <c r="J231" s="130"/>
      <c r="M231" s="130"/>
      <c r="N231" s="130"/>
      <c r="Q231" s="130"/>
      <c r="R231" s="130"/>
      <c r="U231" s="130"/>
      <c r="V231" s="130"/>
      <c r="Y231" s="130"/>
      <c r="Z231" s="130"/>
    </row>
    <row r="232" spans="2:26" s="122" customFormat="1">
      <c r="B232" s="130"/>
      <c r="E232" s="130"/>
      <c r="F232" s="130"/>
      <c r="I232" s="130"/>
      <c r="J232" s="130"/>
      <c r="M232" s="130"/>
      <c r="N232" s="130"/>
      <c r="Q232" s="130"/>
      <c r="R232" s="130"/>
      <c r="U232" s="130"/>
      <c r="V232" s="130"/>
      <c r="Y232" s="130"/>
      <c r="Z232" s="130"/>
    </row>
    <row r="233" spans="2:26" s="122" customFormat="1">
      <c r="B233" s="130"/>
      <c r="E233" s="130"/>
      <c r="F233" s="130"/>
      <c r="I233" s="130"/>
      <c r="J233" s="130"/>
      <c r="M233" s="130"/>
      <c r="N233" s="130"/>
      <c r="Q233" s="130"/>
      <c r="R233" s="130"/>
      <c r="U233" s="130"/>
      <c r="V233" s="130"/>
      <c r="Y233" s="130"/>
      <c r="Z233" s="130"/>
    </row>
    <row r="234" spans="2:26" s="122" customFormat="1">
      <c r="B234" s="130"/>
      <c r="E234" s="130"/>
      <c r="F234" s="130"/>
      <c r="I234" s="130"/>
      <c r="J234" s="130"/>
      <c r="M234" s="130"/>
      <c r="N234" s="130"/>
      <c r="Q234" s="130"/>
      <c r="R234" s="130"/>
      <c r="U234" s="130"/>
      <c r="V234" s="130"/>
      <c r="Y234" s="130"/>
      <c r="Z234" s="130"/>
    </row>
    <row r="235" spans="2:26" s="122" customFormat="1">
      <c r="B235" s="130"/>
      <c r="E235" s="130"/>
      <c r="F235" s="130"/>
      <c r="I235" s="130"/>
      <c r="J235" s="130"/>
      <c r="M235" s="130"/>
      <c r="N235" s="130"/>
      <c r="Q235" s="130"/>
      <c r="R235" s="130"/>
      <c r="U235" s="130"/>
      <c r="V235" s="130"/>
      <c r="Y235" s="130"/>
      <c r="Z235" s="130"/>
    </row>
    <row r="236" spans="2:26" s="122" customFormat="1">
      <c r="B236" s="130"/>
      <c r="E236" s="130"/>
      <c r="F236" s="130"/>
      <c r="I236" s="130"/>
      <c r="J236" s="130"/>
      <c r="M236" s="130"/>
      <c r="N236" s="130"/>
      <c r="Q236" s="130"/>
      <c r="R236" s="130"/>
      <c r="U236" s="130"/>
      <c r="V236" s="130"/>
      <c r="Y236" s="130"/>
      <c r="Z236" s="130"/>
    </row>
    <row r="237" spans="2:26" s="122" customFormat="1">
      <c r="B237" s="130"/>
      <c r="E237" s="130"/>
      <c r="F237" s="130"/>
      <c r="I237" s="130"/>
      <c r="J237" s="130"/>
      <c r="M237" s="130"/>
      <c r="N237" s="130"/>
      <c r="Q237" s="130"/>
      <c r="R237" s="130"/>
      <c r="U237" s="130"/>
      <c r="V237" s="130"/>
      <c r="Y237" s="130"/>
      <c r="Z237" s="130"/>
    </row>
    <row r="238" spans="2:26" s="122" customFormat="1">
      <c r="B238" s="130"/>
      <c r="E238" s="130"/>
      <c r="F238" s="130"/>
      <c r="I238" s="130"/>
      <c r="J238" s="130"/>
      <c r="M238" s="130"/>
      <c r="N238" s="130"/>
      <c r="Q238" s="130"/>
      <c r="R238" s="130"/>
      <c r="U238" s="130"/>
      <c r="V238" s="130"/>
      <c r="Y238" s="130"/>
      <c r="Z238" s="130"/>
    </row>
    <row r="239" spans="2:26" s="122" customFormat="1">
      <c r="B239" s="130"/>
      <c r="E239" s="130"/>
      <c r="F239" s="130"/>
      <c r="I239" s="130"/>
      <c r="J239" s="130"/>
      <c r="M239" s="130"/>
      <c r="N239" s="130"/>
      <c r="Q239" s="130"/>
      <c r="R239" s="130"/>
      <c r="U239" s="130"/>
      <c r="V239" s="130"/>
      <c r="Y239" s="130"/>
      <c r="Z239" s="130"/>
    </row>
    <row r="240" spans="2:26" s="122" customFormat="1">
      <c r="B240" s="130"/>
      <c r="E240" s="130"/>
      <c r="F240" s="130"/>
      <c r="I240" s="130"/>
      <c r="J240" s="130"/>
      <c r="M240" s="130"/>
      <c r="N240" s="130"/>
      <c r="Q240" s="130"/>
      <c r="R240" s="130"/>
      <c r="U240" s="130"/>
      <c r="V240" s="130"/>
      <c r="Y240" s="130"/>
      <c r="Z240" s="130"/>
    </row>
    <row r="241" spans="2:26" s="122" customFormat="1">
      <c r="B241" s="130"/>
      <c r="E241" s="130"/>
      <c r="F241" s="130"/>
      <c r="I241" s="130"/>
      <c r="J241" s="130"/>
      <c r="M241" s="130"/>
      <c r="N241" s="130"/>
      <c r="Q241" s="130"/>
      <c r="R241" s="130"/>
      <c r="U241" s="130"/>
      <c r="V241" s="130"/>
      <c r="Y241" s="130"/>
      <c r="Z241" s="130"/>
    </row>
    <row r="242" spans="2:26" s="122" customFormat="1">
      <c r="B242" s="130"/>
      <c r="E242" s="130"/>
      <c r="F242" s="130"/>
      <c r="I242" s="130"/>
      <c r="J242" s="130"/>
      <c r="M242" s="130"/>
      <c r="N242" s="130"/>
      <c r="Q242" s="130"/>
      <c r="R242" s="130"/>
      <c r="U242" s="130"/>
      <c r="V242" s="130"/>
      <c r="Y242" s="130"/>
      <c r="Z242" s="130"/>
    </row>
    <row r="243" spans="2:26" s="122" customFormat="1">
      <c r="B243" s="130"/>
      <c r="E243" s="130"/>
      <c r="F243" s="130"/>
      <c r="I243" s="130"/>
      <c r="J243" s="130"/>
      <c r="M243" s="130"/>
      <c r="N243" s="130"/>
      <c r="Q243" s="130"/>
      <c r="R243" s="130"/>
      <c r="U243" s="130"/>
      <c r="V243" s="130"/>
      <c r="Y243" s="130"/>
      <c r="Z243" s="130"/>
    </row>
    <row r="244" spans="2:26" s="122" customFormat="1">
      <c r="B244" s="130"/>
      <c r="E244" s="130"/>
      <c r="F244" s="130"/>
      <c r="I244" s="130"/>
      <c r="J244" s="130"/>
      <c r="M244" s="130"/>
      <c r="N244" s="130"/>
      <c r="Q244" s="130"/>
      <c r="R244" s="130"/>
      <c r="U244" s="130"/>
      <c r="V244" s="130"/>
      <c r="Y244" s="130"/>
      <c r="Z244" s="130"/>
    </row>
    <row r="245" spans="2:26" s="122" customFormat="1">
      <c r="B245" s="130"/>
      <c r="E245" s="130"/>
      <c r="F245" s="130"/>
      <c r="I245" s="130"/>
      <c r="J245" s="130"/>
      <c r="M245" s="130"/>
      <c r="N245" s="130"/>
      <c r="Q245" s="130"/>
      <c r="R245" s="130"/>
      <c r="U245" s="130"/>
      <c r="V245" s="130"/>
      <c r="Y245" s="130"/>
      <c r="Z245" s="130"/>
    </row>
    <row r="246" spans="2:26" s="122" customFormat="1">
      <c r="B246" s="130"/>
      <c r="E246" s="130"/>
      <c r="F246" s="130"/>
      <c r="I246" s="130"/>
      <c r="J246" s="130"/>
      <c r="M246" s="130"/>
      <c r="N246" s="130"/>
      <c r="Q246" s="130"/>
      <c r="R246" s="130"/>
      <c r="U246" s="130"/>
      <c r="V246" s="130"/>
      <c r="Y246" s="130"/>
      <c r="Z246" s="130"/>
    </row>
    <row r="247" spans="2:26" s="122" customFormat="1">
      <c r="B247" s="130"/>
      <c r="E247" s="130"/>
      <c r="F247" s="130"/>
      <c r="I247" s="130"/>
      <c r="J247" s="130"/>
      <c r="M247" s="130"/>
      <c r="N247" s="130"/>
      <c r="Q247" s="130"/>
      <c r="R247" s="130"/>
      <c r="U247" s="130"/>
      <c r="V247" s="130"/>
      <c r="Y247" s="130"/>
      <c r="Z247" s="130"/>
    </row>
    <row r="248" spans="2:26" s="122" customFormat="1">
      <c r="B248" s="130"/>
      <c r="E248" s="130"/>
      <c r="F248" s="130"/>
      <c r="I248" s="130"/>
      <c r="J248" s="130"/>
      <c r="M248" s="130"/>
      <c r="N248" s="130"/>
      <c r="Q248" s="130"/>
      <c r="R248" s="130"/>
      <c r="U248" s="130"/>
      <c r="V248" s="130"/>
      <c r="Y248" s="130"/>
      <c r="Z248" s="130"/>
    </row>
    <row r="249" spans="2:26" s="122" customFormat="1">
      <c r="B249" s="130"/>
      <c r="E249" s="130"/>
      <c r="F249" s="130"/>
      <c r="I249" s="130"/>
      <c r="J249" s="130"/>
      <c r="M249" s="130"/>
      <c r="N249" s="130"/>
      <c r="Q249" s="130"/>
      <c r="R249" s="130"/>
      <c r="U249" s="130"/>
      <c r="V249" s="130"/>
      <c r="Y249" s="130"/>
      <c r="Z249" s="130"/>
    </row>
    <row r="250" spans="2:26" s="122" customFormat="1">
      <c r="B250" s="130"/>
      <c r="E250" s="130"/>
      <c r="F250" s="130"/>
      <c r="I250" s="130"/>
      <c r="J250" s="130"/>
      <c r="M250" s="130"/>
      <c r="N250" s="130"/>
      <c r="Q250" s="130"/>
      <c r="R250" s="130"/>
      <c r="U250" s="130"/>
      <c r="V250" s="130"/>
      <c r="Y250" s="130"/>
      <c r="Z250" s="130"/>
    </row>
    <row r="251" spans="2:26" s="122" customFormat="1">
      <c r="B251" s="130"/>
      <c r="E251" s="130"/>
      <c r="F251" s="130"/>
      <c r="I251" s="130"/>
      <c r="J251" s="130"/>
      <c r="M251" s="130"/>
      <c r="N251" s="130"/>
      <c r="Q251" s="130"/>
      <c r="R251" s="130"/>
      <c r="U251" s="130"/>
      <c r="V251" s="130"/>
      <c r="Y251" s="130"/>
      <c r="Z251" s="130"/>
    </row>
    <row r="252" spans="2:26" s="122" customFormat="1">
      <c r="B252" s="130"/>
      <c r="E252" s="130"/>
      <c r="F252" s="130"/>
      <c r="I252" s="130"/>
      <c r="J252" s="130"/>
      <c r="M252" s="130"/>
      <c r="N252" s="130"/>
      <c r="Q252" s="130"/>
      <c r="R252" s="130"/>
      <c r="U252" s="130"/>
      <c r="V252" s="130"/>
      <c r="Y252" s="130"/>
      <c r="Z252" s="130"/>
    </row>
    <row r="253" spans="2:26" s="122" customFormat="1">
      <c r="B253" s="130"/>
      <c r="E253" s="130"/>
      <c r="F253" s="130"/>
      <c r="I253" s="130"/>
      <c r="J253" s="130"/>
      <c r="M253" s="130"/>
      <c r="N253" s="130"/>
      <c r="Q253" s="130"/>
      <c r="R253" s="130"/>
      <c r="U253" s="130"/>
      <c r="V253" s="130"/>
      <c r="Y253" s="130"/>
      <c r="Z253" s="130"/>
    </row>
    <row r="254" spans="2:26" s="122" customFormat="1">
      <c r="B254" s="130"/>
      <c r="E254" s="130"/>
      <c r="F254" s="130"/>
      <c r="I254" s="130"/>
      <c r="J254" s="130"/>
      <c r="M254" s="130"/>
      <c r="N254" s="130"/>
      <c r="Q254" s="130"/>
      <c r="R254" s="130"/>
      <c r="U254" s="130"/>
      <c r="V254" s="130"/>
      <c r="Y254" s="130"/>
      <c r="Z254" s="130"/>
    </row>
    <row r="255" spans="2:26" s="122" customFormat="1">
      <c r="B255" s="130"/>
      <c r="E255" s="130"/>
      <c r="F255" s="130"/>
      <c r="I255" s="130"/>
      <c r="J255" s="130"/>
      <c r="M255" s="130"/>
      <c r="N255" s="130"/>
      <c r="Q255" s="130"/>
      <c r="R255" s="130"/>
      <c r="U255" s="130"/>
      <c r="V255" s="130"/>
      <c r="Y255" s="130"/>
      <c r="Z255" s="130"/>
    </row>
    <row r="256" spans="2:26" s="122" customFormat="1">
      <c r="B256" s="130"/>
      <c r="E256" s="130"/>
      <c r="F256" s="130"/>
      <c r="I256" s="130"/>
      <c r="J256" s="130"/>
      <c r="M256" s="130"/>
      <c r="N256" s="130"/>
      <c r="Q256" s="130"/>
      <c r="R256" s="130"/>
      <c r="U256" s="130"/>
      <c r="V256" s="130"/>
      <c r="Y256" s="130"/>
      <c r="Z256" s="130"/>
    </row>
    <row r="257" spans="2:26" s="122" customFormat="1">
      <c r="B257" s="130"/>
      <c r="E257" s="130"/>
      <c r="F257" s="130"/>
      <c r="I257" s="130"/>
      <c r="J257" s="130"/>
      <c r="M257" s="130"/>
      <c r="N257" s="130"/>
      <c r="Q257" s="130"/>
      <c r="R257" s="130"/>
      <c r="U257" s="130"/>
      <c r="V257" s="130"/>
      <c r="Y257" s="130"/>
      <c r="Z257" s="130"/>
    </row>
    <row r="258" spans="2:26" s="122" customFormat="1">
      <c r="B258" s="130"/>
      <c r="E258" s="130"/>
      <c r="F258" s="130"/>
      <c r="I258" s="130"/>
      <c r="J258" s="130"/>
      <c r="M258" s="130"/>
      <c r="N258" s="130"/>
      <c r="Q258" s="130"/>
      <c r="R258" s="130"/>
      <c r="U258" s="130"/>
      <c r="V258" s="130"/>
      <c r="Y258" s="130"/>
      <c r="Z258" s="130"/>
    </row>
    <row r="259" spans="2:26" s="122" customFormat="1">
      <c r="B259" s="130"/>
      <c r="E259" s="130"/>
      <c r="F259" s="130"/>
      <c r="I259" s="130"/>
      <c r="J259" s="130"/>
      <c r="M259" s="130"/>
      <c r="N259" s="130"/>
      <c r="Q259" s="130"/>
      <c r="R259" s="130"/>
      <c r="U259" s="130"/>
      <c r="V259" s="130"/>
      <c r="Y259" s="130"/>
      <c r="Z259" s="130"/>
    </row>
    <row r="260" spans="2:26" s="122" customFormat="1">
      <c r="B260" s="130"/>
      <c r="E260" s="130"/>
      <c r="F260" s="130"/>
      <c r="I260" s="130"/>
      <c r="J260" s="130"/>
      <c r="M260" s="130"/>
      <c r="N260" s="130"/>
      <c r="Q260" s="130"/>
      <c r="R260" s="130"/>
      <c r="U260" s="130"/>
      <c r="V260" s="130"/>
      <c r="Y260" s="130"/>
      <c r="Z260" s="130"/>
    </row>
    <row r="261" spans="2:26" s="122" customFormat="1">
      <c r="B261" s="130"/>
      <c r="E261" s="130"/>
      <c r="F261" s="130"/>
      <c r="I261" s="130"/>
      <c r="J261" s="130"/>
      <c r="M261" s="130"/>
      <c r="N261" s="130"/>
      <c r="Q261" s="130"/>
      <c r="R261" s="130"/>
      <c r="U261" s="130"/>
      <c r="V261" s="130"/>
      <c r="Y261" s="130"/>
      <c r="Z261" s="130"/>
    </row>
    <row r="262" spans="2:26" s="122" customFormat="1">
      <c r="B262" s="130"/>
      <c r="E262" s="130"/>
      <c r="F262" s="130"/>
      <c r="I262" s="130"/>
      <c r="J262" s="130"/>
      <c r="M262" s="130"/>
      <c r="N262" s="130"/>
      <c r="Q262" s="130"/>
      <c r="R262" s="130"/>
      <c r="U262" s="130"/>
      <c r="V262" s="130"/>
      <c r="Y262" s="130"/>
      <c r="Z262" s="130"/>
    </row>
    <row r="263" spans="2:26" s="122" customFormat="1">
      <c r="B263" s="130"/>
      <c r="E263" s="130"/>
      <c r="F263" s="130"/>
      <c r="I263" s="130"/>
      <c r="J263" s="130"/>
      <c r="M263" s="130"/>
      <c r="N263" s="130"/>
      <c r="Q263" s="130"/>
      <c r="R263" s="130"/>
      <c r="U263" s="130"/>
      <c r="V263" s="130"/>
      <c r="Y263" s="130"/>
      <c r="Z263" s="130"/>
    </row>
    <row r="264" spans="2:26" s="122" customFormat="1">
      <c r="B264" s="130"/>
      <c r="E264" s="130"/>
      <c r="F264" s="130"/>
      <c r="I264" s="130"/>
      <c r="J264" s="130"/>
      <c r="M264" s="130"/>
      <c r="N264" s="130"/>
      <c r="Q264" s="130"/>
      <c r="R264" s="130"/>
      <c r="U264" s="130"/>
      <c r="V264" s="130"/>
      <c r="Y264" s="130"/>
      <c r="Z264" s="130"/>
    </row>
    <row r="265" spans="2:26" s="122" customFormat="1">
      <c r="B265" s="130"/>
      <c r="E265" s="130"/>
      <c r="F265" s="130"/>
      <c r="I265" s="130"/>
      <c r="J265" s="130"/>
      <c r="M265" s="130"/>
      <c r="N265" s="130"/>
      <c r="Q265" s="130"/>
      <c r="R265" s="130"/>
      <c r="U265" s="130"/>
      <c r="V265" s="130"/>
      <c r="Y265" s="130"/>
      <c r="Z265" s="130"/>
    </row>
    <row r="266" spans="2:26" s="122" customFormat="1">
      <c r="B266" s="130"/>
      <c r="E266" s="130"/>
      <c r="F266" s="130"/>
      <c r="I266" s="130"/>
      <c r="J266" s="130"/>
      <c r="M266" s="130"/>
      <c r="N266" s="130"/>
      <c r="Q266" s="130"/>
      <c r="R266" s="130"/>
      <c r="U266" s="130"/>
      <c r="V266" s="130"/>
      <c r="Y266" s="130"/>
      <c r="Z266" s="130"/>
    </row>
    <row r="267" spans="2:26" s="122" customFormat="1">
      <c r="B267" s="130"/>
      <c r="E267" s="130"/>
      <c r="F267" s="130"/>
      <c r="I267" s="130"/>
      <c r="J267" s="130"/>
      <c r="M267" s="130"/>
      <c r="N267" s="130"/>
      <c r="Q267" s="130"/>
      <c r="R267" s="130"/>
      <c r="U267" s="130"/>
      <c r="V267" s="130"/>
      <c r="Y267" s="130"/>
      <c r="Z267" s="130"/>
    </row>
    <row r="268" spans="2:26" s="122" customFormat="1">
      <c r="B268" s="130"/>
      <c r="E268" s="130"/>
      <c r="F268" s="130"/>
      <c r="I268" s="130"/>
      <c r="J268" s="130"/>
      <c r="M268" s="130"/>
      <c r="N268" s="130"/>
      <c r="Q268" s="130"/>
      <c r="R268" s="130"/>
      <c r="U268" s="130"/>
      <c r="V268" s="130"/>
      <c r="Y268" s="130"/>
      <c r="Z268" s="130"/>
    </row>
    <row r="269" spans="2:26" s="122" customFormat="1">
      <c r="B269" s="130"/>
      <c r="E269" s="130"/>
      <c r="F269" s="130"/>
      <c r="I269" s="130"/>
      <c r="J269" s="130"/>
      <c r="M269" s="130"/>
      <c r="N269" s="130"/>
      <c r="Q269" s="130"/>
      <c r="R269" s="130"/>
      <c r="U269" s="130"/>
      <c r="V269" s="130"/>
      <c r="Y269" s="130"/>
      <c r="Z269" s="130"/>
    </row>
    <row r="270" spans="2:26" s="122" customFormat="1">
      <c r="B270" s="130"/>
      <c r="E270" s="130"/>
      <c r="F270" s="130"/>
      <c r="I270" s="130"/>
      <c r="J270" s="130"/>
      <c r="M270" s="130"/>
      <c r="N270" s="130"/>
      <c r="Q270" s="130"/>
      <c r="R270" s="130"/>
      <c r="U270" s="130"/>
      <c r="V270" s="130"/>
      <c r="Y270" s="130"/>
      <c r="Z270" s="130"/>
    </row>
    <row r="271" spans="2:26" s="122" customFormat="1">
      <c r="B271" s="130"/>
      <c r="E271" s="130"/>
      <c r="F271" s="130"/>
      <c r="I271" s="130"/>
      <c r="J271" s="130"/>
      <c r="M271" s="130"/>
      <c r="N271" s="130"/>
      <c r="Q271" s="130"/>
      <c r="R271" s="130"/>
      <c r="U271" s="130"/>
      <c r="V271" s="130"/>
      <c r="Y271" s="130"/>
      <c r="Z271" s="130"/>
    </row>
    <row r="272" spans="2:26" s="122" customFormat="1">
      <c r="B272" s="130"/>
      <c r="E272" s="130"/>
      <c r="F272" s="130"/>
      <c r="I272" s="130"/>
      <c r="J272" s="130"/>
      <c r="M272" s="130"/>
      <c r="N272" s="130"/>
      <c r="Q272" s="130"/>
      <c r="R272" s="130"/>
      <c r="U272" s="130"/>
      <c r="V272" s="130"/>
      <c r="Y272" s="130"/>
      <c r="Z272" s="130"/>
    </row>
    <row r="273" spans="2:26" s="122" customFormat="1">
      <c r="B273" s="130"/>
      <c r="E273" s="130"/>
      <c r="F273" s="130"/>
      <c r="I273" s="130"/>
      <c r="J273" s="130"/>
      <c r="M273" s="130"/>
      <c r="N273" s="130"/>
      <c r="Q273" s="130"/>
      <c r="R273" s="130"/>
      <c r="U273" s="130"/>
      <c r="V273" s="130"/>
      <c r="Y273" s="130"/>
      <c r="Z273" s="130"/>
    </row>
    <row r="274" spans="2:26" s="122" customFormat="1">
      <c r="B274" s="130"/>
      <c r="E274" s="130"/>
      <c r="F274" s="130"/>
      <c r="I274" s="130"/>
      <c r="J274" s="130"/>
      <c r="M274" s="130"/>
      <c r="N274" s="130"/>
      <c r="Q274" s="130"/>
      <c r="R274" s="130"/>
      <c r="U274" s="130"/>
      <c r="V274" s="130"/>
      <c r="Y274" s="130"/>
      <c r="Z274" s="130"/>
    </row>
    <row r="275" spans="2:26" s="122" customFormat="1">
      <c r="B275" s="130"/>
      <c r="E275" s="130"/>
      <c r="F275" s="130"/>
      <c r="I275" s="130"/>
      <c r="J275" s="130"/>
      <c r="M275" s="130"/>
      <c r="N275" s="130"/>
      <c r="Q275" s="130"/>
      <c r="R275" s="130"/>
      <c r="U275" s="130"/>
      <c r="V275" s="130"/>
      <c r="Y275" s="130"/>
      <c r="Z275" s="130"/>
    </row>
    <row r="276" spans="2:26" s="122" customFormat="1">
      <c r="B276" s="130"/>
      <c r="E276" s="130"/>
      <c r="F276" s="130"/>
      <c r="I276" s="130"/>
      <c r="J276" s="130"/>
      <c r="M276" s="130"/>
      <c r="N276" s="130"/>
      <c r="Q276" s="130"/>
      <c r="R276" s="130"/>
      <c r="U276" s="130"/>
      <c r="V276" s="130"/>
      <c r="Y276" s="130"/>
      <c r="Z276" s="130"/>
    </row>
    <row r="277" spans="2:26" s="122" customFormat="1">
      <c r="B277" s="130"/>
      <c r="E277" s="130"/>
      <c r="F277" s="130"/>
      <c r="I277" s="130"/>
      <c r="J277" s="130"/>
      <c r="M277" s="130"/>
      <c r="N277" s="130"/>
      <c r="Q277" s="130"/>
      <c r="R277" s="130"/>
      <c r="U277" s="130"/>
      <c r="V277" s="130"/>
      <c r="Y277" s="130"/>
      <c r="Z277" s="130"/>
    </row>
    <row r="278" spans="2:26" s="122" customFormat="1">
      <c r="B278" s="130"/>
      <c r="E278" s="130"/>
      <c r="F278" s="130"/>
      <c r="I278" s="130"/>
      <c r="J278" s="130"/>
      <c r="M278" s="130"/>
      <c r="N278" s="130"/>
      <c r="Q278" s="130"/>
      <c r="R278" s="130"/>
      <c r="U278" s="130"/>
      <c r="V278" s="130"/>
      <c r="Y278" s="130"/>
      <c r="Z278" s="130"/>
    </row>
    <row r="279" spans="2:26" s="122" customFormat="1">
      <c r="B279" s="130"/>
      <c r="E279" s="130"/>
      <c r="F279" s="130"/>
      <c r="I279" s="130"/>
      <c r="J279" s="130"/>
      <c r="M279" s="130"/>
      <c r="N279" s="130"/>
      <c r="Q279" s="130"/>
      <c r="R279" s="130"/>
      <c r="U279" s="130"/>
      <c r="V279" s="130"/>
      <c r="Y279" s="130"/>
      <c r="Z279" s="130"/>
    </row>
    <row r="280" spans="2:26" s="122" customFormat="1">
      <c r="B280" s="130"/>
      <c r="E280" s="130"/>
      <c r="F280" s="130"/>
      <c r="I280" s="130"/>
      <c r="J280" s="130"/>
      <c r="M280" s="130"/>
      <c r="N280" s="130"/>
      <c r="Q280" s="130"/>
      <c r="R280" s="130"/>
      <c r="U280" s="130"/>
      <c r="V280" s="130"/>
      <c r="Y280" s="130"/>
      <c r="Z280" s="130"/>
    </row>
    <row r="281" spans="2:26" s="122" customFormat="1">
      <c r="B281" s="130"/>
      <c r="E281" s="130"/>
      <c r="F281" s="130"/>
      <c r="I281" s="130"/>
      <c r="J281" s="130"/>
      <c r="M281" s="130"/>
      <c r="N281" s="130"/>
      <c r="Q281" s="130"/>
      <c r="R281" s="130"/>
      <c r="U281" s="130"/>
      <c r="V281" s="130"/>
      <c r="Y281" s="130"/>
      <c r="Z281" s="130"/>
    </row>
    <row r="282" spans="2:26" s="122" customFormat="1">
      <c r="B282" s="130"/>
      <c r="E282" s="130"/>
      <c r="F282" s="130"/>
      <c r="I282" s="130"/>
      <c r="J282" s="130"/>
      <c r="M282" s="130"/>
      <c r="N282" s="130"/>
      <c r="Q282" s="130"/>
      <c r="R282" s="130"/>
      <c r="U282" s="130"/>
      <c r="V282" s="130"/>
      <c r="Y282" s="130"/>
      <c r="Z282" s="130"/>
    </row>
    <row r="283" spans="2:26" s="122" customFormat="1">
      <c r="B283" s="130"/>
      <c r="E283" s="130"/>
      <c r="F283" s="130"/>
      <c r="I283" s="130"/>
      <c r="J283" s="130"/>
      <c r="M283" s="130"/>
      <c r="N283" s="130"/>
      <c r="Q283" s="130"/>
      <c r="R283" s="130"/>
      <c r="U283" s="130"/>
      <c r="V283" s="130"/>
      <c r="Y283" s="130"/>
      <c r="Z283" s="130"/>
    </row>
    <row r="284" spans="2:26" s="122" customFormat="1">
      <c r="B284" s="130"/>
      <c r="E284" s="130"/>
      <c r="F284" s="130"/>
      <c r="I284" s="130"/>
      <c r="J284" s="130"/>
      <c r="M284" s="130"/>
      <c r="N284" s="130"/>
      <c r="Q284" s="130"/>
      <c r="R284" s="130"/>
      <c r="U284" s="130"/>
      <c r="V284" s="130"/>
      <c r="Y284" s="130"/>
      <c r="Z284" s="130"/>
    </row>
    <row r="285" spans="2:26" s="122" customFormat="1">
      <c r="B285" s="130"/>
      <c r="E285" s="130"/>
      <c r="F285" s="130"/>
      <c r="I285" s="130"/>
      <c r="J285" s="130"/>
      <c r="M285" s="130"/>
      <c r="N285" s="130"/>
      <c r="Q285" s="130"/>
      <c r="R285" s="130"/>
      <c r="U285" s="130"/>
      <c r="V285" s="130"/>
      <c r="Y285" s="130"/>
      <c r="Z285" s="130"/>
    </row>
    <row r="286" spans="2:26" s="122" customFormat="1">
      <c r="B286" s="130"/>
      <c r="E286" s="130"/>
      <c r="F286" s="130"/>
      <c r="I286" s="130"/>
      <c r="J286" s="130"/>
      <c r="M286" s="130"/>
      <c r="N286" s="130"/>
      <c r="Q286" s="130"/>
      <c r="R286" s="130"/>
      <c r="U286" s="130"/>
      <c r="V286" s="130"/>
      <c r="Y286" s="130"/>
      <c r="Z286" s="130"/>
    </row>
    <row r="287" spans="2:26" s="122" customFormat="1">
      <c r="B287" s="130"/>
      <c r="E287" s="130"/>
      <c r="F287" s="130"/>
      <c r="I287" s="130"/>
      <c r="J287" s="130"/>
      <c r="M287" s="130"/>
      <c r="N287" s="130"/>
      <c r="Q287" s="130"/>
      <c r="R287" s="130"/>
      <c r="U287" s="130"/>
      <c r="V287" s="130"/>
      <c r="Y287" s="130"/>
      <c r="Z287" s="130"/>
    </row>
    <row r="288" spans="2:26" s="122" customFormat="1">
      <c r="B288" s="130"/>
      <c r="E288" s="130"/>
      <c r="F288" s="130"/>
      <c r="I288" s="130"/>
      <c r="J288" s="130"/>
      <c r="M288" s="130"/>
      <c r="N288" s="130"/>
      <c r="Q288" s="130"/>
      <c r="R288" s="130"/>
      <c r="U288" s="130"/>
      <c r="V288" s="130"/>
      <c r="Y288" s="130"/>
      <c r="Z288" s="130"/>
    </row>
    <row r="289" spans="2:26" s="122" customFormat="1">
      <c r="B289" s="130"/>
      <c r="E289" s="130"/>
      <c r="F289" s="130"/>
      <c r="I289" s="130"/>
      <c r="J289" s="130"/>
      <c r="M289" s="130"/>
      <c r="N289" s="130"/>
      <c r="Q289" s="130"/>
      <c r="R289" s="130"/>
      <c r="U289" s="130"/>
      <c r="V289" s="130"/>
      <c r="Y289" s="130"/>
      <c r="Z289" s="130"/>
    </row>
    <row r="290" spans="2:26" s="122" customFormat="1">
      <c r="B290" s="130"/>
      <c r="E290" s="130"/>
      <c r="F290" s="130"/>
      <c r="I290" s="130"/>
      <c r="J290" s="130"/>
      <c r="M290" s="130"/>
      <c r="N290" s="130"/>
      <c r="Q290" s="130"/>
      <c r="R290" s="130"/>
      <c r="U290" s="130"/>
      <c r="V290" s="130"/>
      <c r="Y290" s="130"/>
      <c r="Z290" s="130"/>
    </row>
    <row r="291" spans="2:26" s="122" customFormat="1">
      <c r="B291" s="130"/>
      <c r="E291" s="130"/>
      <c r="F291" s="130"/>
      <c r="I291" s="130"/>
      <c r="J291" s="130"/>
      <c r="M291" s="130"/>
      <c r="N291" s="130"/>
      <c r="Q291" s="130"/>
      <c r="R291" s="130"/>
      <c r="U291" s="130"/>
      <c r="V291" s="130"/>
      <c r="Y291" s="130"/>
      <c r="Z291" s="130"/>
    </row>
    <row r="292" spans="2:26" s="122" customFormat="1">
      <c r="B292" s="130"/>
      <c r="E292" s="130"/>
      <c r="F292" s="130"/>
      <c r="I292" s="130"/>
      <c r="J292" s="130"/>
      <c r="M292" s="130"/>
      <c r="N292" s="130"/>
      <c r="Q292" s="130"/>
      <c r="R292" s="130"/>
      <c r="U292" s="130"/>
      <c r="V292" s="130"/>
      <c r="Y292" s="130"/>
      <c r="Z292" s="130"/>
    </row>
    <row r="293" spans="2:26" s="122" customFormat="1">
      <c r="B293" s="130"/>
      <c r="E293" s="130"/>
      <c r="F293" s="130"/>
      <c r="I293" s="130"/>
      <c r="J293" s="130"/>
      <c r="M293" s="130"/>
      <c r="N293" s="130"/>
      <c r="Q293" s="130"/>
      <c r="R293" s="130"/>
      <c r="U293" s="130"/>
      <c r="V293" s="130"/>
      <c r="Y293" s="130"/>
      <c r="Z293" s="130"/>
    </row>
    <row r="294" spans="2:26" s="122" customFormat="1">
      <c r="B294" s="130"/>
      <c r="E294" s="130"/>
      <c r="F294" s="130"/>
      <c r="I294" s="130"/>
      <c r="J294" s="130"/>
      <c r="M294" s="130"/>
      <c r="N294" s="130"/>
      <c r="Q294" s="130"/>
      <c r="R294" s="130"/>
      <c r="U294" s="130"/>
      <c r="V294" s="130"/>
      <c r="Y294" s="130"/>
      <c r="Z294" s="130"/>
    </row>
    <row r="295" spans="2:26" s="122" customFormat="1">
      <c r="B295" s="130"/>
      <c r="E295" s="130"/>
      <c r="F295" s="130"/>
      <c r="I295" s="130"/>
      <c r="J295" s="130"/>
      <c r="M295" s="130"/>
      <c r="N295" s="130"/>
      <c r="Q295" s="130"/>
      <c r="R295" s="130"/>
      <c r="U295" s="130"/>
      <c r="V295" s="130"/>
      <c r="Y295" s="130"/>
      <c r="Z295" s="130"/>
    </row>
    <row r="296" spans="2:26" s="122" customFormat="1">
      <c r="B296" s="130"/>
      <c r="E296" s="130"/>
      <c r="F296" s="130"/>
      <c r="I296" s="130"/>
      <c r="J296" s="130"/>
      <c r="M296" s="130"/>
      <c r="N296" s="130"/>
      <c r="Q296" s="130"/>
      <c r="R296" s="130"/>
      <c r="U296" s="130"/>
      <c r="V296" s="130"/>
      <c r="Y296" s="130"/>
      <c r="Z296" s="130"/>
    </row>
    <row r="297" spans="2:26" s="122" customFormat="1">
      <c r="B297" s="130"/>
      <c r="E297" s="130"/>
      <c r="F297" s="130"/>
      <c r="I297" s="130"/>
      <c r="J297" s="130"/>
      <c r="M297" s="130"/>
      <c r="N297" s="130"/>
      <c r="Q297" s="130"/>
      <c r="R297" s="130"/>
      <c r="U297" s="130"/>
      <c r="V297" s="130"/>
      <c r="Y297" s="130"/>
      <c r="Z297" s="130"/>
    </row>
    <row r="298" spans="2:26" s="122" customFormat="1">
      <c r="B298" s="130"/>
      <c r="E298" s="130"/>
      <c r="F298" s="130"/>
      <c r="I298" s="130"/>
      <c r="J298" s="130"/>
      <c r="M298" s="130"/>
      <c r="N298" s="130"/>
      <c r="Q298" s="130"/>
      <c r="R298" s="130"/>
      <c r="U298" s="130"/>
      <c r="V298" s="130"/>
      <c r="Y298" s="130"/>
      <c r="Z298" s="130"/>
    </row>
    <row r="299" spans="2:26" s="122" customFormat="1">
      <c r="B299" s="130"/>
      <c r="E299" s="130"/>
      <c r="F299" s="130"/>
      <c r="I299" s="130"/>
      <c r="J299" s="130"/>
      <c r="M299" s="130"/>
      <c r="N299" s="130"/>
      <c r="Q299" s="130"/>
      <c r="R299" s="130"/>
      <c r="U299" s="130"/>
      <c r="V299" s="130"/>
      <c r="Y299" s="130"/>
      <c r="Z299" s="130"/>
    </row>
    <row r="300" spans="2:26" s="122" customFormat="1">
      <c r="B300" s="130"/>
      <c r="E300" s="130"/>
      <c r="F300" s="130"/>
      <c r="I300" s="130"/>
      <c r="J300" s="130"/>
      <c r="M300" s="130"/>
      <c r="N300" s="130"/>
      <c r="Q300" s="130"/>
      <c r="R300" s="130"/>
      <c r="U300" s="130"/>
      <c r="V300" s="130"/>
      <c r="Y300" s="130"/>
      <c r="Z300" s="130"/>
    </row>
    <row r="301" spans="2:26" s="122" customFormat="1">
      <c r="B301" s="130"/>
      <c r="E301" s="130"/>
      <c r="F301" s="130"/>
      <c r="I301" s="130"/>
      <c r="J301" s="130"/>
      <c r="M301" s="130"/>
      <c r="N301" s="130"/>
      <c r="Q301" s="130"/>
      <c r="R301" s="130"/>
      <c r="U301" s="130"/>
      <c r="V301" s="130"/>
      <c r="Y301" s="130"/>
      <c r="Z301" s="130"/>
    </row>
    <row r="302" spans="2:26" s="122" customFormat="1">
      <c r="B302" s="130"/>
      <c r="E302" s="130"/>
      <c r="F302" s="130"/>
      <c r="I302" s="130"/>
      <c r="J302" s="130"/>
      <c r="M302" s="130"/>
      <c r="N302" s="130"/>
      <c r="Q302" s="130"/>
      <c r="R302" s="130"/>
      <c r="U302" s="130"/>
      <c r="V302" s="130"/>
      <c r="Y302" s="130"/>
      <c r="Z302" s="130"/>
    </row>
    <row r="303" spans="2:26" s="122" customFormat="1">
      <c r="B303" s="130"/>
      <c r="E303" s="130"/>
      <c r="F303" s="130"/>
      <c r="I303" s="130"/>
      <c r="J303" s="130"/>
      <c r="M303" s="130"/>
      <c r="N303" s="130"/>
      <c r="Q303" s="130"/>
      <c r="R303" s="130"/>
      <c r="U303" s="130"/>
      <c r="V303" s="130"/>
      <c r="Y303" s="130"/>
      <c r="Z303" s="130"/>
    </row>
    <row r="304" spans="2:26" s="122" customFormat="1">
      <c r="B304" s="130"/>
      <c r="E304" s="130"/>
      <c r="F304" s="130"/>
      <c r="I304" s="130"/>
      <c r="J304" s="130"/>
      <c r="M304" s="130"/>
      <c r="N304" s="130"/>
      <c r="Q304" s="130"/>
      <c r="R304" s="130"/>
      <c r="U304" s="130"/>
      <c r="V304" s="130"/>
      <c r="Y304" s="130"/>
      <c r="Z304" s="130"/>
    </row>
    <row r="305" spans="2:26" s="122" customFormat="1">
      <c r="B305" s="130"/>
      <c r="E305" s="130"/>
      <c r="F305" s="130"/>
      <c r="I305" s="130"/>
      <c r="J305" s="130"/>
      <c r="M305" s="130"/>
      <c r="N305" s="130"/>
      <c r="Q305" s="130"/>
      <c r="R305" s="130"/>
      <c r="U305" s="130"/>
      <c r="V305" s="130"/>
      <c r="Y305" s="130"/>
      <c r="Z305" s="130"/>
    </row>
    <row r="306" spans="2:26" s="122" customFormat="1">
      <c r="B306" s="130"/>
      <c r="E306" s="130"/>
      <c r="F306" s="130"/>
      <c r="I306" s="130"/>
      <c r="J306" s="130"/>
      <c r="M306" s="130"/>
      <c r="N306" s="130"/>
      <c r="Q306" s="130"/>
      <c r="R306" s="130"/>
      <c r="U306" s="130"/>
      <c r="V306" s="130"/>
      <c r="Y306" s="130"/>
      <c r="Z306" s="130"/>
    </row>
    <row r="307" spans="2:26" s="122" customFormat="1">
      <c r="B307" s="130"/>
      <c r="E307" s="130"/>
      <c r="F307" s="130"/>
      <c r="I307" s="130"/>
      <c r="J307" s="130"/>
      <c r="M307" s="130"/>
      <c r="N307" s="130"/>
      <c r="Q307" s="130"/>
      <c r="R307" s="130"/>
      <c r="U307" s="130"/>
      <c r="V307" s="130"/>
      <c r="Y307" s="130"/>
      <c r="Z307" s="130"/>
    </row>
    <row r="308" spans="2:26" s="122" customFormat="1">
      <c r="B308" s="130"/>
      <c r="E308" s="130"/>
      <c r="F308" s="130"/>
      <c r="I308" s="130"/>
      <c r="J308" s="130"/>
      <c r="M308" s="130"/>
      <c r="N308" s="130"/>
      <c r="Q308" s="130"/>
      <c r="R308" s="130"/>
      <c r="U308" s="130"/>
      <c r="V308" s="130"/>
      <c r="Y308" s="130"/>
      <c r="Z308" s="130"/>
    </row>
    <row r="309" spans="2:26" s="122" customFormat="1">
      <c r="B309" s="130"/>
      <c r="E309" s="130"/>
      <c r="F309" s="130"/>
      <c r="I309" s="130"/>
      <c r="J309" s="130"/>
      <c r="M309" s="130"/>
      <c r="N309" s="130"/>
      <c r="Q309" s="130"/>
      <c r="R309" s="130"/>
      <c r="U309" s="130"/>
      <c r="V309" s="130"/>
      <c r="Y309" s="130"/>
      <c r="Z309" s="130"/>
    </row>
    <row r="310" spans="2:26" s="122" customFormat="1">
      <c r="B310" s="130"/>
      <c r="E310" s="130"/>
      <c r="F310" s="130"/>
      <c r="I310" s="130"/>
      <c r="J310" s="130"/>
      <c r="M310" s="130"/>
      <c r="N310" s="130"/>
      <c r="Q310" s="130"/>
      <c r="R310" s="130"/>
      <c r="U310" s="130"/>
      <c r="V310" s="130"/>
      <c r="Y310" s="130"/>
      <c r="Z310" s="130"/>
    </row>
    <row r="311" spans="2:26" s="122" customFormat="1">
      <c r="B311" s="130"/>
      <c r="E311" s="130"/>
      <c r="F311" s="130"/>
      <c r="I311" s="130"/>
      <c r="J311" s="130"/>
      <c r="M311" s="130"/>
      <c r="N311" s="130"/>
      <c r="Q311" s="130"/>
      <c r="R311" s="130"/>
      <c r="U311" s="130"/>
      <c r="V311" s="130"/>
      <c r="Y311" s="130"/>
      <c r="Z311" s="130"/>
    </row>
    <row r="312" spans="2:26" s="122" customFormat="1">
      <c r="B312" s="130"/>
      <c r="E312" s="130"/>
      <c r="F312" s="130"/>
      <c r="I312" s="130"/>
      <c r="J312" s="130"/>
      <c r="M312" s="130"/>
      <c r="N312" s="130"/>
      <c r="Q312" s="130"/>
      <c r="R312" s="130"/>
      <c r="U312" s="130"/>
      <c r="V312" s="130"/>
      <c r="Y312" s="130"/>
      <c r="Z312" s="130"/>
    </row>
    <row r="313" spans="2:26" s="122" customFormat="1">
      <c r="B313" s="130"/>
      <c r="E313" s="130"/>
      <c r="F313" s="130"/>
      <c r="I313" s="130"/>
      <c r="J313" s="130"/>
      <c r="M313" s="130"/>
      <c r="N313" s="130"/>
      <c r="Q313" s="130"/>
      <c r="R313" s="130"/>
      <c r="U313" s="130"/>
      <c r="V313" s="130"/>
      <c r="Y313" s="130"/>
      <c r="Z313" s="130"/>
    </row>
    <row r="314" spans="2:26" s="122" customFormat="1">
      <c r="B314" s="130"/>
      <c r="E314" s="130"/>
      <c r="F314" s="130"/>
      <c r="I314" s="130"/>
      <c r="J314" s="130"/>
      <c r="M314" s="130"/>
      <c r="N314" s="130"/>
      <c r="Q314" s="130"/>
      <c r="R314" s="130"/>
      <c r="U314" s="130"/>
      <c r="V314" s="130"/>
      <c r="Y314" s="130"/>
      <c r="Z314" s="130"/>
    </row>
    <row r="315" spans="2:26" s="122" customFormat="1">
      <c r="B315" s="130"/>
      <c r="E315" s="130"/>
      <c r="F315" s="130"/>
      <c r="I315" s="130"/>
      <c r="J315" s="130"/>
      <c r="M315" s="130"/>
      <c r="N315" s="130"/>
      <c r="Q315" s="130"/>
      <c r="R315" s="130"/>
      <c r="U315" s="130"/>
      <c r="V315" s="130"/>
      <c r="Y315" s="130"/>
      <c r="Z315" s="130"/>
    </row>
    <row r="316" spans="2:26" s="122" customFormat="1">
      <c r="B316" s="130"/>
      <c r="E316" s="130"/>
      <c r="F316" s="130"/>
      <c r="I316" s="130"/>
      <c r="J316" s="130"/>
      <c r="M316" s="130"/>
      <c r="N316" s="130"/>
      <c r="Q316" s="130"/>
      <c r="R316" s="130"/>
      <c r="U316" s="130"/>
      <c r="V316" s="130"/>
      <c r="Y316" s="130"/>
      <c r="Z316" s="130"/>
    </row>
    <row r="317" spans="2:26" s="122" customFormat="1">
      <c r="B317" s="130"/>
      <c r="E317" s="130"/>
      <c r="F317" s="130"/>
      <c r="I317" s="130"/>
      <c r="J317" s="130"/>
      <c r="M317" s="130"/>
      <c r="N317" s="130"/>
      <c r="Q317" s="130"/>
      <c r="R317" s="130"/>
      <c r="U317" s="130"/>
      <c r="V317" s="130"/>
      <c r="Y317" s="130"/>
      <c r="Z317" s="130"/>
    </row>
    <row r="318" spans="2:26" s="122" customFormat="1">
      <c r="B318" s="130"/>
      <c r="E318" s="130"/>
      <c r="F318" s="130"/>
      <c r="I318" s="130"/>
      <c r="J318" s="130"/>
      <c r="M318" s="130"/>
      <c r="N318" s="130"/>
      <c r="Q318" s="130"/>
      <c r="R318" s="130"/>
      <c r="U318" s="130"/>
      <c r="V318" s="130"/>
      <c r="Y318" s="130"/>
      <c r="Z318" s="130"/>
    </row>
    <row r="319" spans="2:26" s="122" customFormat="1">
      <c r="B319" s="130"/>
      <c r="E319" s="130"/>
      <c r="F319" s="130"/>
      <c r="I319" s="130"/>
      <c r="J319" s="130"/>
      <c r="M319" s="130"/>
      <c r="N319" s="130"/>
      <c r="Q319" s="130"/>
      <c r="R319" s="130"/>
      <c r="U319" s="130"/>
      <c r="V319" s="130"/>
      <c r="Y319" s="130"/>
      <c r="Z319" s="130"/>
    </row>
    <row r="320" spans="2:26" s="122" customFormat="1">
      <c r="B320" s="130"/>
      <c r="E320" s="130"/>
      <c r="F320" s="130"/>
      <c r="I320" s="130"/>
      <c r="J320" s="130"/>
      <c r="M320" s="130"/>
      <c r="N320" s="130"/>
      <c r="Q320" s="130"/>
      <c r="R320" s="130"/>
      <c r="U320" s="130"/>
      <c r="V320" s="130"/>
      <c r="Y320" s="130"/>
      <c r="Z320" s="130"/>
    </row>
    <row r="321" spans="2:26" s="122" customFormat="1">
      <c r="B321" s="130"/>
      <c r="E321" s="130"/>
      <c r="F321" s="130"/>
      <c r="I321" s="130"/>
      <c r="J321" s="130"/>
      <c r="M321" s="130"/>
      <c r="N321" s="130"/>
      <c r="Q321" s="130"/>
      <c r="R321" s="130"/>
      <c r="U321" s="130"/>
      <c r="V321" s="130"/>
      <c r="Y321" s="130"/>
      <c r="Z321" s="130"/>
    </row>
    <row r="322" spans="2:26" s="122" customFormat="1">
      <c r="B322" s="130"/>
      <c r="E322" s="130"/>
      <c r="F322" s="130"/>
      <c r="I322" s="130"/>
      <c r="J322" s="130"/>
      <c r="M322" s="130"/>
      <c r="N322" s="130"/>
      <c r="Q322" s="130"/>
      <c r="R322" s="130"/>
      <c r="U322" s="130"/>
      <c r="V322" s="130"/>
      <c r="Y322" s="130"/>
      <c r="Z322" s="130"/>
    </row>
    <row r="323" spans="2:26" s="122" customFormat="1">
      <c r="B323" s="130"/>
      <c r="E323" s="130"/>
      <c r="F323" s="130"/>
      <c r="I323" s="130"/>
      <c r="J323" s="130"/>
      <c r="M323" s="130"/>
      <c r="N323" s="130"/>
      <c r="Q323" s="130"/>
      <c r="R323" s="130"/>
      <c r="U323" s="130"/>
      <c r="V323" s="130"/>
      <c r="Y323" s="130"/>
      <c r="Z323" s="130"/>
    </row>
    <row r="324" spans="2:26" s="122" customFormat="1">
      <c r="B324" s="130"/>
      <c r="E324" s="130"/>
      <c r="F324" s="130"/>
      <c r="I324" s="130"/>
      <c r="J324" s="130"/>
      <c r="M324" s="130"/>
      <c r="N324" s="130"/>
      <c r="Q324" s="130"/>
      <c r="R324" s="130"/>
      <c r="U324" s="130"/>
      <c r="V324" s="130"/>
      <c r="Y324" s="130"/>
      <c r="Z324" s="130"/>
    </row>
    <row r="325" spans="2:26" s="122" customFormat="1">
      <c r="B325" s="130"/>
      <c r="E325" s="130"/>
      <c r="F325" s="130"/>
      <c r="I325" s="130"/>
      <c r="J325" s="130"/>
      <c r="M325" s="130"/>
      <c r="N325" s="130"/>
      <c r="Q325" s="130"/>
      <c r="R325" s="130"/>
      <c r="U325" s="130"/>
      <c r="V325" s="130"/>
      <c r="Y325" s="130"/>
      <c r="Z325" s="130"/>
    </row>
    <row r="326" spans="2:26" s="122" customFormat="1">
      <c r="B326" s="130"/>
      <c r="E326" s="130"/>
      <c r="F326" s="130"/>
      <c r="I326" s="130"/>
      <c r="J326" s="130"/>
      <c r="M326" s="130"/>
      <c r="N326" s="130"/>
      <c r="Q326" s="130"/>
      <c r="R326" s="130"/>
      <c r="U326" s="130"/>
      <c r="V326" s="130"/>
      <c r="Y326" s="130"/>
      <c r="Z326" s="130"/>
    </row>
    <row r="327" spans="2:26" s="122" customFormat="1">
      <c r="B327" s="130"/>
      <c r="E327" s="130"/>
      <c r="F327" s="130"/>
      <c r="I327" s="130"/>
      <c r="J327" s="130"/>
      <c r="M327" s="130"/>
      <c r="N327" s="130"/>
      <c r="Q327" s="130"/>
      <c r="R327" s="130"/>
      <c r="U327" s="130"/>
      <c r="V327" s="130"/>
      <c r="Y327" s="130"/>
      <c r="Z327" s="130"/>
    </row>
    <row r="328" spans="2:26" s="122" customFormat="1">
      <c r="B328" s="130"/>
      <c r="E328" s="130"/>
      <c r="F328" s="130"/>
      <c r="I328" s="130"/>
      <c r="J328" s="130"/>
      <c r="M328" s="130"/>
      <c r="N328" s="130"/>
      <c r="Q328" s="130"/>
      <c r="R328" s="130"/>
      <c r="U328" s="130"/>
      <c r="V328" s="130"/>
      <c r="Y328" s="130"/>
      <c r="Z328" s="130"/>
    </row>
    <row r="329" spans="2:26" s="122" customFormat="1">
      <c r="B329" s="130"/>
      <c r="E329" s="130"/>
      <c r="F329" s="130"/>
      <c r="I329" s="130"/>
      <c r="J329" s="130"/>
      <c r="M329" s="130"/>
      <c r="N329" s="130"/>
      <c r="Q329" s="130"/>
      <c r="R329" s="130"/>
      <c r="U329" s="130"/>
      <c r="V329" s="130"/>
      <c r="Y329" s="130"/>
      <c r="Z329" s="130"/>
    </row>
    <row r="330" spans="2:26" s="122" customFormat="1">
      <c r="B330" s="130"/>
      <c r="E330" s="130"/>
      <c r="F330" s="130"/>
      <c r="I330" s="130"/>
      <c r="J330" s="130"/>
      <c r="M330" s="130"/>
      <c r="N330" s="130"/>
      <c r="Q330" s="130"/>
      <c r="R330" s="130"/>
      <c r="U330" s="130"/>
      <c r="V330" s="130"/>
      <c r="Y330" s="130"/>
      <c r="Z330" s="130"/>
    </row>
    <row r="331" spans="2:26" s="122" customFormat="1">
      <c r="B331" s="130"/>
      <c r="E331" s="130"/>
      <c r="F331" s="130"/>
      <c r="I331" s="130"/>
      <c r="J331" s="130"/>
      <c r="M331" s="130"/>
      <c r="N331" s="130"/>
      <c r="Q331" s="130"/>
      <c r="R331" s="130"/>
      <c r="U331" s="130"/>
      <c r="V331" s="130"/>
      <c r="Y331" s="130"/>
      <c r="Z331" s="130"/>
    </row>
    <row r="332" spans="2:26" s="122" customFormat="1">
      <c r="B332" s="130"/>
      <c r="E332" s="130"/>
      <c r="F332" s="130"/>
      <c r="I332" s="130"/>
      <c r="J332" s="130"/>
      <c r="M332" s="130"/>
      <c r="N332" s="130"/>
      <c r="Q332" s="130"/>
      <c r="R332" s="130"/>
      <c r="U332" s="130"/>
      <c r="V332" s="130"/>
      <c r="Y332" s="130"/>
      <c r="Z332" s="130"/>
    </row>
    <row r="333" spans="2:26" s="122" customFormat="1">
      <c r="B333" s="130"/>
      <c r="E333" s="130"/>
      <c r="F333" s="130"/>
      <c r="I333" s="130"/>
      <c r="J333" s="130"/>
      <c r="M333" s="130"/>
      <c r="N333" s="130"/>
      <c r="Q333" s="130"/>
      <c r="R333" s="130"/>
      <c r="U333" s="130"/>
      <c r="V333" s="130"/>
      <c r="Y333" s="130"/>
      <c r="Z333" s="130"/>
    </row>
    <row r="334" spans="2:26" s="122" customFormat="1">
      <c r="B334" s="130"/>
      <c r="E334" s="130"/>
      <c r="F334" s="130"/>
      <c r="I334" s="130"/>
      <c r="J334" s="130"/>
      <c r="M334" s="130"/>
      <c r="N334" s="130"/>
      <c r="Q334" s="130"/>
      <c r="R334" s="130"/>
      <c r="U334" s="130"/>
      <c r="V334" s="130"/>
      <c r="Y334" s="130"/>
      <c r="Z334" s="130"/>
    </row>
    <row r="335" spans="2:26" s="122" customFormat="1">
      <c r="B335" s="130"/>
      <c r="E335" s="130"/>
      <c r="F335" s="130"/>
      <c r="I335" s="130"/>
      <c r="J335" s="130"/>
      <c r="M335" s="130"/>
      <c r="N335" s="130"/>
      <c r="Q335" s="130"/>
      <c r="R335" s="130"/>
      <c r="U335" s="130"/>
      <c r="V335" s="130"/>
      <c r="Y335" s="130"/>
      <c r="Z335" s="130"/>
    </row>
    <row r="336" spans="2:26" s="122" customFormat="1">
      <c r="B336" s="130"/>
      <c r="E336" s="130"/>
      <c r="F336" s="130"/>
      <c r="I336" s="130"/>
      <c r="J336" s="130"/>
      <c r="M336" s="130"/>
      <c r="N336" s="130"/>
      <c r="Q336" s="130"/>
      <c r="R336" s="130"/>
      <c r="U336" s="130"/>
      <c r="V336" s="130"/>
      <c r="Y336" s="130"/>
      <c r="Z336" s="130"/>
    </row>
    <row r="337" spans="2:26" s="122" customFormat="1">
      <c r="B337" s="130"/>
      <c r="E337" s="130"/>
      <c r="F337" s="130"/>
      <c r="I337" s="130"/>
      <c r="J337" s="130"/>
      <c r="M337" s="130"/>
      <c r="N337" s="130"/>
      <c r="Q337" s="130"/>
      <c r="R337" s="130"/>
      <c r="U337" s="130"/>
      <c r="V337" s="130"/>
      <c r="Y337" s="130"/>
      <c r="Z337" s="130"/>
    </row>
    <row r="338" spans="2:26" s="122" customFormat="1">
      <c r="B338" s="130"/>
      <c r="E338" s="130"/>
      <c r="F338" s="130"/>
      <c r="I338" s="130"/>
      <c r="J338" s="130"/>
      <c r="M338" s="130"/>
      <c r="N338" s="130"/>
      <c r="Q338" s="130"/>
      <c r="R338" s="130"/>
      <c r="U338" s="130"/>
      <c r="V338" s="130"/>
      <c r="Y338" s="130"/>
      <c r="Z338" s="130"/>
    </row>
    <row r="339" spans="2:26" s="122" customFormat="1">
      <c r="B339" s="130"/>
      <c r="E339" s="130"/>
      <c r="F339" s="130"/>
      <c r="I339" s="130"/>
      <c r="J339" s="130"/>
      <c r="M339" s="130"/>
      <c r="N339" s="130"/>
      <c r="Q339" s="130"/>
      <c r="R339" s="130"/>
      <c r="U339" s="130"/>
      <c r="V339" s="130"/>
      <c r="Y339" s="130"/>
      <c r="Z339" s="130"/>
    </row>
    <row r="340" spans="2:26" s="122" customFormat="1">
      <c r="B340" s="130"/>
      <c r="E340" s="130"/>
      <c r="F340" s="130"/>
      <c r="I340" s="130"/>
      <c r="J340" s="130"/>
      <c r="M340" s="130"/>
      <c r="N340" s="130"/>
      <c r="Q340" s="130"/>
      <c r="R340" s="130"/>
      <c r="U340" s="130"/>
      <c r="V340" s="130"/>
      <c r="Y340" s="130"/>
      <c r="Z340" s="130"/>
    </row>
    <row r="341" spans="2:26" s="122" customFormat="1">
      <c r="B341" s="130"/>
      <c r="E341" s="130"/>
      <c r="F341" s="130"/>
      <c r="I341" s="130"/>
      <c r="J341" s="130"/>
      <c r="M341" s="130"/>
      <c r="N341" s="130"/>
      <c r="Q341" s="130"/>
      <c r="R341" s="130"/>
      <c r="U341" s="130"/>
      <c r="V341" s="130"/>
      <c r="Y341" s="130"/>
      <c r="Z341" s="130"/>
    </row>
    <row r="342" spans="2:26" s="122" customFormat="1">
      <c r="B342" s="130"/>
      <c r="E342" s="130"/>
      <c r="F342" s="130"/>
      <c r="I342" s="130"/>
      <c r="J342" s="130"/>
      <c r="M342" s="130"/>
      <c r="N342" s="130"/>
      <c r="Q342" s="130"/>
      <c r="R342" s="130"/>
      <c r="U342" s="130"/>
      <c r="V342" s="130"/>
      <c r="Y342" s="130"/>
      <c r="Z342" s="130"/>
    </row>
    <row r="343" spans="2:26" s="122" customFormat="1">
      <c r="B343" s="130"/>
      <c r="E343" s="130"/>
      <c r="F343" s="130"/>
      <c r="I343" s="130"/>
      <c r="J343" s="130"/>
      <c r="M343" s="130"/>
      <c r="N343" s="130"/>
      <c r="Q343" s="130"/>
      <c r="R343" s="130"/>
      <c r="U343" s="130"/>
      <c r="V343" s="130"/>
      <c r="Y343" s="130"/>
      <c r="Z343" s="130"/>
    </row>
    <row r="344" spans="2:26" s="122" customFormat="1">
      <c r="B344" s="130"/>
      <c r="E344" s="130"/>
      <c r="F344" s="130"/>
      <c r="I344" s="130"/>
      <c r="J344" s="130"/>
      <c r="M344" s="130"/>
      <c r="N344" s="130"/>
      <c r="Q344" s="130"/>
      <c r="R344" s="130"/>
      <c r="U344" s="130"/>
      <c r="V344" s="130"/>
      <c r="Y344" s="130"/>
      <c r="Z344" s="130"/>
    </row>
    <row r="345" spans="2:26" s="122" customFormat="1">
      <c r="B345" s="130"/>
      <c r="E345" s="130"/>
      <c r="F345" s="130"/>
      <c r="I345" s="130"/>
      <c r="J345" s="130"/>
      <c r="M345" s="130"/>
      <c r="N345" s="130"/>
      <c r="Q345" s="130"/>
      <c r="R345" s="130"/>
      <c r="U345" s="130"/>
      <c r="V345" s="130"/>
      <c r="Y345" s="130"/>
      <c r="Z345" s="130"/>
    </row>
    <row r="346" spans="2:26" s="122" customFormat="1">
      <c r="B346" s="130"/>
      <c r="E346" s="130"/>
      <c r="F346" s="130"/>
      <c r="I346" s="130"/>
      <c r="J346" s="130"/>
      <c r="M346" s="130"/>
      <c r="N346" s="130"/>
      <c r="Q346" s="130"/>
      <c r="R346" s="130"/>
      <c r="U346" s="130"/>
      <c r="V346" s="130"/>
      <c r="Y346" s="130"/>
      <c r="Z346" s="130"/>
    </row>
    <row r="347" spans="2:26" s="122" customFormat="1">
      <c r="B347" s="130"/>
      <c r="E347" s="130"/>
      <c r="F347" s="130"/>
      <c r="I347" s="130"/>
      <c r="J347" s="130"/>
      <c r="M347" s="130"/>
      <c r="N347" s="130"/>
      <c r="Q347" s="130"/>
      <c r="R347" s="130"/>
      <c r="U347" s="130"/>
      <c r="V347" s="130"/>
      <c r="Y347" s="130"/>
      <c r="Z347" s="130"/>
    </row>
    <row r="348" spans="2:26" s="122" customFormat="1">
      <c r="B348" s="130"/>
      <c r="E348" s="130"/>
      <c r="F348" s="130"/>
      <c r="I348" s="130"/>
      <c r="J348" s="130"/>
      <c r="M348" s="130"/>
      <c r="N348" s="130"/>
      <c r="Q348" s="130"/>
      <c r="R348" s="130"/>
      <c r="U348" s="130"/>
      <c r="V348" s="130"/>
      <c r="Y348" s="130"/>
      <c r="Z348" s="130"/>
    </row>
    <row r="349" spans="2:26" s="122" customFormat="1">
      <c r="B349" s="130"/>
      <c r="E349" s="130"/>
      <c r="F349" s="130"/>
      <c r="I349" s="130"/>
      <c r="J349" s="130"/>
      <c r="M349" s="130"/>
      <c r="N349" s="130"/>
      <c r="Q349" s="130"/>
      <c r="R349" s="130"/>
      <c r="U349" s="130"/>
      <c r="V349" s="130"/>
      <c r="Y349" s="130"/>
      <c r="Z349" s="130"/>
    </row>
    <row r="350" spans="2:26" s="122" customFormat="1">
      <c r="B350" s="130"/>
      <c r="E350" s="130"/>
      <c r="F350" s="130"/>
      <c r="I350" s="130"/>
      <c r="J350" s="130"/>
      <c r="M350" s="130"/>
      <c r="N350" s="130"/>
      <c r="Q350" s="130"/>
      <c r="R350" s="130"/>
      <c r="U350" s="130"/>
      <c r="V350" s="130"/>
      <c r="Y350" s="130"/>
      <c r="Z350" s="130"/>
    </row>
    <row r="351" spans="2:26" s="122" customFormat="1">
      <c r="B351" s="130"/>
      <c r="E351" s="130"/>
      <c r="F351" s="130"/>
      <c r="I351" s="130"/>
      <c r="J351" s="130"/>
      <c r="M351" s="130"/>
      <c r="N351" s="130"/>
      <c r="Q351" s="130"/>
      <c r="R351" s="130"/>
      <c r="U351" s="130"/>
      <c r="V351" s="130"/>
      <c r="Y351" s="130"/>
      <c r="Z351" s="130"/>
    </row>
    <row r="352" spans="2:26" s="122" customFormat="1">
      <c r="B352" s="130"/>
      <c r="E352" s="130"/>
      <c r="F352" s="130"/>
      <c r="I352" s="130"/>
      <c r="J352" s="130"/>
      <c r="M352" s="130"/>
      <c r="N352" s="130"/>
      <c r="Q352" s="130"/>
      <c r="R352" s="130"/>
      <c r="U352" s="130"/>
      <c r="V352" s="130"/>
      <c r="Y352" s="130"/>
      <c r="Z352" s="130"/>
    </row>
    <row r="353" spans="2:26" s="122" customFormat="1">
      <c r="B353" s="130"/>
      <c r="E353" s="130"/>
      <c r="F353" s="130"/>
      <c r="I353" s="130"/>
      <c r="J353" s="130"/>
      <c r="M353" s="130"/>
      <c r="N353" s="130"/>
      <c r="Q353" s="130"/>
      <c r="R353" s="130"/>
      <c r="U353" s="130"/>
      <c r="V353" s="130"/>
      <c r="Y353" s="130"/>
      <c r="Z353" s="130"/>
    </row>
    <row r="354" spans="2:26" s="122" customFormat="1">
      <c r="B354" s="130"/>
      <c r="E354" s="130"/>
      <c r="F354" s="130"/>
      <c r="I354" s="130"/>
      <c r="J354" s="130"/>
      <c r="M354" s="130"/>
      <c r="N354" s="130"/>
      <c r="Q354" s="130"/>
      <c r="R354" s="130"/>
      <c r="U354" s="130"/>
      <c r="V354" s="130"/>
      <c r="Y354" s="130"/>
      <c r="Z354" s="130"/>
    </row>
    <row r="355" spans="2:26" s="122" customFormat="1">
      <c r="B355" s="130"/>
      <c r="E355" s="130"/>
      <c r="F355" s="130"/>
      <c r="I355" s="130"/>
      <c r="J355" s="130"/>
      <c r="M355" s="130"/>
      <c r="N355" s="130"/>
      <c r="Q355" s="130"/>
      <c r="R355" s="130"/>
      <c r="U355" s="130"/>
      <c r="V355" s="130"/>
      <c r="Y355" s="130"/>
      <c r="Z355" s="130"/>
    </row>
    <row r="356" spans="2:26" s="122" customFormat="1">
      <c r="B356" s="130"/>
      <c r="E356" s="130"/>
      <c r="F356" s="130"/>
      <c r="I356" s="130"/>
      <c r="J356" s="130"/>
      <c r="M356" s="130"/>
      <c r="N356" s="130"/>
      <c r="Q356" s="130"/>
      <c r="R356" s="130"/>
      <c r="U356" s="130"/>
      <c r="V356" s="130"/>
      <c r="Y356" s="130"/>
      <c r="Z356" s="130"/>
    </row>
    <row r="357" spans="2:26" s="122" customFormat="1">
      <c r="B357" s="130"/>
      <c r="E357" s="130"/>
      <c r="F357" s="130"/>
      <c r="I357" s="130"/>
      <c r="J357" s="130"/>
      <c r="M357" s="130"/>
      <c r="N357" s="130"/>
      <c r="Q357" s="130"/>
      <c r="R357" s="130"/>
      <c r="U357" s="130"/>
      <c r="V357" s="130"/>
      <c r="Y357" s="130"/>
      <c r="Z357" s="130"/>
    </row>
    <row r="358" spans="2:26" s="122" customFormat="1">
      <c r="B358" s="130"/>
      <c r="E358" s="130"/>
      <c r="F358" s="130"/>
      <c r="I358" s="130"/>
      <c r="J358" s="130"/>
      <c r="M358" s="130"/>
      <c r="N358" s="130"/>
      <c r="Q358" s="130"/>
      <c r="R358" s="130"/>
      <c r="U358" s="130"/>
      <c r="V358" s="130"/>
      <c r="Y358" s="130"/>
      <c r="Z358" s="130"/>
    </row>
    <row r="359" spans="2:26" s="122" customFormat="1">
      <c r="B359" s="130"/>
      <c r="E359" s="130"/>
      <c r="F359" s="130"/>
      <c r="I359" s="130"/>
      <c r="J359" s="130"/>
      <c r="M359" s="130"/>
      <c r="N359" s="130"/>
      <c r="Q359" s="130"/>
      <c r="R359" s="130"/>
      <c r="U359" s="130"/>
      <c r="V359" s="130"/>
      <c r="Y359" s="130"/>
      <c r="Z359" s="130"/>
    </row>
    <row r="360" spans="2:26" s="122" customFormat="1">
      <c r="B360" s="130"/>
      <c r="E360" s="130"/>
      <c r="F360" s="130"/>
      <c r="I360" s="130"/>
      <c r="J360" s="130"/>
      <c r="M360" s="130"/>
      <c r="N360" s="130"/>
      <c r="Q360" s="130"/>
      <c r="R360" s="130"/>
      <c r="U360" s="130"/>
      <c r="V360" s="130"/>
      <c r="Y360" s="130"/>
      <c r="Z360" s="130"/>
    </row>
    <row r="361" spans="2:26" s="122" customFormat="1">
      <c r="B361" s="130"/>
      <c r="E361" s="130"/>
      <c r="F361" s="130"/>
      <c r="I361" s="130"/>
      <c r="J361" s="130"/>
      <c r="M361" s="130"/>
      <c r="N361" s="130"/>
      <c r="Q361" s="130"/>
      <c r="R361" s="130"/>
      <c r="U361" s="130"/>
      <c r="V361" s="130"/>
      <c r="Y361" s="130"/>
      <c r="Z361" s="130"/>
    </row>
    <row r="362" spans="2:26" s="122" customFormat="1">
      <c r="B362" s="130"/>
      <c r="E362" s="130"/>
      <c r="F362" s="130"/>
      <c r="I362" s="130"/>
      <c r="J362" s="130"/>
      <c r="M362" s="130"/>
      <c r="N362" s="130"/>
      <c r="Q362" s="130"/>
      <c r="R362" s="130"/>
      <c r="U362" s="130"/>
      <c r="V362" s="130"/>
      <c r="Y362" s="130"/>
      <c r="Z362" s="130"/>
    </row>
    <row r="363" spans="2:26" s="122" customFormat="1">
      <c r="B363" s="130"/>
      <c r="E363" s="130"/>
      <c r="F363" s="130"/>
      <c r="I363" s="130"/>
      <c r="J363" s="130"/>
      <c r="M363" s="130"/>
      <c r="N363" s="130"/>
      <c r="Q363" s="130"/>
      <c r="R363" s="130"/>
      <c r="U363" s="130"/>
      <c r="V363" s="130"/>
      <c r="Y363" s="130"/>
      <c r="Z363" s="130"/>
    </row>
    <row r="364" spans="2:26" s="122" customFormat="1">
      <c r="B364" s="130"/>
      <c r="E364" s="130"/>
      <c r="F364" s="130"/>
      <c r="I364" s="130"/>
      <c r="J364" s="130"/>
      <c r="M364" s="130"/>
      <c r="N364" s="130"/>
      <c r="Q364" s="130"/>
      <c r="R364" s="130"/>
      <c r="U364" s="130"/>
      <c r="V364" s="130"/>
      <c r="Y364" s="130"/>
      <c r="Z364" s="130"/>
    </row>
    <row r="365" spans="2:26" s="122" customFormat="1">
      <c r="B365" s="130"/>
      <c r="E365" s="130"/>
      <c r="F365" s="130"/>
      <c r="I365" s="130"/>
      <c r="J365" s="130"/>
      <c r="M365" s="130"/>
      <c r="N365" s="130"/>
      <c r="Q365" s="130"/>
      <c r="R365" s="130"/>
      <c r="U365" s="130"/>
      <c r="V365" s="130"/>
      <c r="Y365" s="130"/>
      <c r="Z365" s="130"/>
    </row>
    <row r="366" spans="2:26" s="122" customFormat="1">
      <c r="B366" s="130"/>
      <c r="E366" s="130"/>
      <c r="F366" s="130"/>
      <c r="I366" s="130"/>
      <c r="J366" s="130"/>
      <c r="M366" s="130"/>
      <c r="N366" s="130"/>
      <c r="Q366" s="130"/>
      <c r="R366" s="130"/>
      <c r="U366" s="130"/>
      <c r="V366" s="130"/>
      <c r="Y366" s="130"/>
      <c r="Z366" s="130"/>
    </row>
    <row r="367" spans="2:26" s="122" customFormat="1">
      <c r="B367" s="130"/>
      <c r="E367" s="130"/>
      <c r="F367" s="130"/>
      <c r="I367" s="130"/>
      <c r="J367" s="130"/>
      <c r="M367" s="130"/>
      <c r="N367" s="130"/>
      <c r="Q367" s="130"/>
      <c r="R367" s="130"/>
      <c r="U367" s="130"/>
      <c r="V367" s="130"/>
      <c r="Y367" s="130"/>
      <c r="Z367" s="130"/>
    </row>
    <row r="368" spans="2:26" s="122" customFormat="1">
      <c r="B368" s="130"/>
      <c r="E368" s="130"/>
      <c r="F368" s="130"/>
      <c r="I368" s="130"/>
      <c r="J368" s="130"/>
      <c r="M368" s="130"/>
      <c r="N368" s="130"/>
      <c r="Q368" s="130"/>
      <c r="R368" s="130"/>
      <c r="U368" s="130"/>
      <c r="V368" s="130"/>
      <c r="Y368" s="130"/>
      <c r="Z368" s="130"/>
    </row>
    <row r="369" spans="2:26" s="122" customFormat="1">
      <c r="B369" s="130"/>
      <c r="E369" s="130"/>
      <c r="F369" s="130"/>
      <c r="I369" s="130"/>
      <c r="J369" s="130"/>
      <c r="M369" s="130"/>
      <c r="N369" s="130"/>
      <c r="Q369" s="130"/>
      <c r="R369" s="130"/>
      <c r="U369" s="130"/>
      <c r="V369" s="130"/>
      <c r="Y369" s="130"/>
      <c r="Z369" s="130"/>
    </row>
    <row r="370" spans="2:26" s="122" customFormat="1">
      <c r="B370" s="130"/>
      <c r="E370" s="130"/>
      <c r="F370" s="130"/>
      <c r="I370" s="130"/>
      <c r="J370" s="130"/>
      <c r="M370" s="130"/>
      <c r="N370" s="130"/>
      <c r="Q370" s="130"/>
      <c r="R370" s="130"/>
      <c r="U370" s="130"/>
      <c r="V370" s="130"/>
      <c r="Y370" s="130"/>
      <c r="Z370" s="130"/>
    </row>
    <row r="371" spans="2:26" s="122" customFormat="1">
      <c r="B371" s="130"/>
      <c r="E371" s="130"/>
      <c r="F371" s="130"/>
      <c r="I371" s="130"/>
      <c r="J371" s="130"/>
      <c r="M371" s="130"/>
      <c r="N371" s="130"/>
      <c r="Q371" s="130"/>
      <c r="R371" s="130"/>
      <c r="U371" s="130"/>
      <c r="V371" s="130"/>
      <c r="Y371" s="130"/>
      <c r="Z371" s="130"/>
    </row>
    <row r="372" spans="2:26" s="122" customFormat="1">
      <c r="B372" s="130"/>
      <c r="E372" s="130"/>
      <c r="F372" s="130"/>
      <c r="I372" s="130"/>
      <c r="J372" s="130"/>
      <c r="M372" s="130"/>
      <c r="N372" s="130"/>
      <c r="Q372" s="130"/>
      <c r="R372" s="130"/>
      <c r="U372" s="130"/>
      <c r="V372" s="130"/>
      <c r="Y372" s="130"/>
      <c r="Z372" s="130"/>
    </row>
    <row r="373" spans="2:26" s="122" customFormat="1">
      <c r="B373" s="130"/>
      <c r="E373" s="130"/>
      <c r="F373" s="130"/>
      <c r="I373" s="130"/>
      <c r="J373" s="130"/>
      <c r="M373" s="130"/>
      <c r="N373" s="130"/>
      <c r="Q373" s="130"/>
      <c r="R373" s="130"/>
      <c r="U373" s="130"/>
      <c r="V373" s="130"/>
      <c r="Y373" s="130"/>
      <c r="Z373" s="130"/>
    </row>
    <row r="374" spans="2:26" s="122" customFormat="1">
      <c r="B374" s="130"/>
      <c r="E374" s="130"/>
      <c r="F374" s="130"/>
      <c r="I374" s="130"/>
      <c r="J374" s="130"/>
      <c r="M374" s="130"/>
      <c r="N374" s="130"/>
      <c r="Q374" s="130"/>
      <c r="R374" s="130"/>
      <c r="U374" s="130"/>
      <c r="V374" s="130"/>
      <c r="Y374" s="130"/>
      <c r="Z374" s="130"/>
    </row>
    <row r="375" spans="2:26" s="122" customFormat="1">
      <c r="B375" s="130"/>
      <c r="E375" s="130"/>
      <c r="F375" s="130"/>
      <c r="I375" s="130"/>
      <c r="J375" s="130"/>
      <c r="M375" s="130"/>
      <c r="N375" s="130"/>
      <c r="Q375" s="130"/>
      <c r="R375" s="130"/>
      <c r="U375" s="130"/>
      <c r="V375" s="130"/>
      <c r="Y375" s="130"/>
      <c r="Z375" s="130"/>
    </row>
    <row r="376" spans="2:26" s="122" customFormat="1">
      <c r="B376" s="130"/>
      <c r="E376" s="130"/>
      <c r="F376" s="130"/>
      <c r="I376" s="130"/>
      <c r="J376" s="130"/>
      <c r="M376" s="130"/>
      <c r="N376" s="130"/>
      <c r="Q376" s="130"/>
      <c r="R376" s="130"/>
      <c r="U376" s="130"/>
      <c r="V376" s="130"/>
      <c r="Y376" s="130"/>
      <c r="Z376" s="130"/>
    </row>
    <row r="377" spans="2:26" s="122" customFormat="1">
      <c r="B377" s="130"/>
      <c r="E377" s="130"/>
      <c r="F377" s="130"/>
      <c r="I377" s="130"/>
      <c r="J377" s="130"/>
      <c r="M377" s="130"/>
      <c r="N377" s="130"/>
      <c r="Q377" s="130"/>
      <c r="R377" s="130"/>
      <c r="U377" s="130"/>
      <c r="V377" s="130"/>
      <c r="Y377" s="130"/>
      <c r="Z377" s="130"/>
    </row>
    <row r="378" spans="2:26" s="122" customFormat="1">
      <c r="B378" s="130"/>
      <c r="E378" s="130"/>
      <c r="F378" s="130"/>
      <c r="I378" s="130"/>
      <c r="J378" s="130"/>
      <c r="M378" s="130"/>
      <c r="N378" s="130"/>
      <c r="Q378" s="130"/>
      <c r="R378" s="130"/>
      <c r="U378" s="130"/>
      <c r="V378" s="130"/>
      <c r="Y378" s="130"/>
      <c r="Z378" s="130"/>
    </row>
    <row r="379" spans="2:26" s="122" customFormat="1">
      <c r="B379" s="130"/>
      <c r="E379" s="130"/>
      <c r="F379" s="130"/>
      <c r="I379" s="130"/>
      <c r="J379" s="130"/>
      <c r="M379" s="130"/>
      <c r="N379" s="130"/>
      <c r="Q379" s="130"/>
      <c r="R379" s="130"/>
      <c r="U379" s="130"/>
      <c r="V379" s="130"/>
      <c r="Y379" s="130"/>
      <c r="Z379" s="130"/>
    </row>
    <row r="380" spans="2:26" s="122" customFormat="1">
      <c r="B380" s="130"/>
      <c r="E380" s="130"/>
      <c r="F380" s="130"/>
      <c r="I380" s="130"/>
      <c r="J380" s="130"/>
      <c r="M380" s="130"/>
      <c r="N380" s="130"/>
      <c r="Q380" s="130"/>
      <c r="R380" s="130"/>
      <c r="U380" s="130"/>
      <c r="V380" s="130"/>
      <c r="Y380" s="130"/>
      <c r="Z380" s="130"/>
    </row>
    <row r="381" spans="2:26" s="122" customFormat="1">
      <c r="B381" s="130"/>
      <c r="E381" s="130"/>
      <c r="F381" s="130"/>
      <c r="I381" s="130"/>
      <c r="J381" s="130"/>
      <c r="M381" s="130"/>
      <c r="N381" s="130"/>
      <c r="Q381" s="130"/>
      <c r="R381" s="130"/>
      <c r="U381" s="130"/>
      <c r="V381" s="130"/>
      <c r="Y381" s="130"/>
      <c r="Z381" s="130"/>
    </row>
    <row r="382" spans="2:26" s="122" customFormat="1">
      <c r="B382" s="130"/>
      <c r="E382" s="130"/>
      <c r="F382" s="130"/>
      <c r="I382" s="130"/>
      <c r="J382" s="130"/>
      <c r="M382" s="130"/>
      <c r="N382" s="130"/>
      <c r="Q382" s="130"/>
      <c r="R382" s="130"/>
      <c r="U382" s="130"/>
      <c r="V382" s="130"/>
      <c r="Y382" s="130"/>
      <c r="Z382" s="130"/>
    </row>
    <row r="383" spans="2:26" s="122" customFormat="1">
      <c r="B383" s="130"/>
      <c r="E383" s="130"/>
      <c r="F383" s="130"/>
      <c r="I383" s="130"/>
      <c r="J383" s="130"/>
      <c r="M383" s="130"/>
      <c r="N383" s="130"/>
      <c r="Q383" s="130"/>
      <c r="R383" s="130"/>
      <c r="U383" s="130"/>
      <c r="V383" s="130"/>
      <c r="Y383" s="130"/>
      <c r="Z383" s="130"/>
    </row>
    <row r="384" spans="2:26" s="122" customFormat="1">
      <c r="B384" s="130"/>
      <c r="E384" s="130"/>
      <c r="F384" s="130"/>
      <c r="I384" s="130"/>
      <c r="J384" s="130"/>
      <c r="M384" s="130"/>
      <c r="N384" s="130"/>
      <c r="Q384" s="130"/>
      <c r="R384" s="130"/>
      <c r="U384" s="130"/>
      <c r="V384" s="130"/>
      <c r="Y384" s="130"/>
      <c r="Z384" s="130"/>
    </row>
    <row r="385" spans="2:26" s="122" customFormat="1">
      <c r="B385" s="130"/>
      <c r="E385" s="130"/>
      <c r="F385" s="130"/>
      <c r="I385" s="130"/>
      <c r="J385" s="130"/>
      <c r="M385" s="130"/>
      <c r="N385" s="130"/>
      <c r="Q385" s="130"/>
      <c r="R385" s="130"/>
      <c r="U385" s="130"/>
      <c r="V385" s="130"/>
      <c r="Y385" s="130"/>
      <c r="Z385" s="130"/>
    </row>
    <row r="386" spans="2:26" s="122" customFormat="1">
      <c r="B386" s="130"/>
      <c r="E386" s="130"/>
      <c r="F386" s="130"/>
      <c r="I386" s="130"/>
      <c r="J386" s="130"/>
      <c r="M386" s="130"/>
      <c r="N386" s="130"/>
      <c r="Q386" s="130"/>
      <c r="R386" s="130"/>
      <c r="U386" s="130"/>
      <c r="V386" s="130"/>
      <c r="Y386" s="130"/>
      <c r="Z386" s="130"/>
    </row>
    <row r="387" spans="2:26" s="122" customFormat="1">
      <c r="B387" s="130"/>
      <c r="E387" s="130"/>
      <c r="F387" s="130"/>
      <c r="I387" s="130"/>
      <c r="J387" s="130"/>
      <c r="M387" s="130"/>
      <c r="N387" s="130"/>
      <c r="Q387" s="130"/>
      <c r="R387" s="130"/>
      <c r="U387" s="130"/>
      <c r="V387" s="130"/>
      <c r="Y387" s="130"/>
      <c r="Z387" s="130"/>
    </row>
    <row r="388" spans="2:26" s="122" customFormat="1">
      <c r="B388" s="130"/>
      <c r="E388" s="130"/>
      <c r="F388" s="130"/>
      <c r="I388" s="130"/>
      <c r="J388" s="130"/>
      <c r="M388" s="130"/>
      <c r="N388" s="130"/>
      <c r="Q388" s="130"/>
      <c r="R388" s="130"/>
      <c r="U388" s="130"/>
      <c r="V388" s="130"/>
      <c r="Y388" s="130"/>
      <c r="Z388" s="130"/>
    </row>
    <row r="389" spans="2:26" s="122" customFormat="1">
      <c r="B389" s="130"/>
      <c r="E389" s="130"/>
      <c r="F389" s="130"/>
      <c r="I389" s="130"/>
      <c r="J389" s="130"/>
      <c r="M389" s="130"/>
      <c r="N389" s="130"/>
      <c r="Q389" s="130"/>
      <c r="R389" s="130"/>
      <c r="U389" s="130"/>
      <c r="V389" s="130"/>
      <c r="Y389" s="130"/>
      <c r="Z389" s="130"/>
    </row>
    <row r="390" spans="2:26" s="122" customFormat="1">
      <c r="B390" s="130"/>
      <c r="E390" s="130"/>
      <c r="F390" s="130"/>
      <c r="I390" s="130"/>
      <c r="J390" s="130"/>
      <c r="M390" s="130"/>
      <c r="N390" s="130"/>
      <c r="Q390" s="130"/>
      <c r="R390" s="130"/>
      <c r="U390" s="130"/>
      <c r="V390" s="130"/>
      <c r="Y390" s="130"/>
      <c r="Z390" s="130"/>
    </row>
    <row r="391" spans="2:26" s="122" customFormat="1">
      <c r="B391" s="130"/>
      <c r="E391" s="130"/>
      <c r="F391" s="130"/>
      <c r="I391" s="130"/>
      <c r="J391" s="130"/>
      <c r="M391" s="130"/>
      <c r="N391" s="130"/>
      <c r="Q391" s="130"/>
      <c r="R391" s="130"/>
      <c r="U391" s="130"/>
      <c r="V391" s="130"/>
      <c r="Y391" s="130"/>
      <c r="Z391" s="130"/>
    </row>
    <row r="392" spans="2:26" s="122" customFormat="1">
      <c r="B392" s="130"/>
      <c r="E392" s="130"/>
      <c r="F392" s="130"/>
      <c r="I392" s="130"/>
      <c r="J392" s="130"/>
      <c r="M392" s="130"/>
      <c r="N392" s="130"/>
      <c r="Q392" s="130"/>
      <c r="R392" s="130"/>
      <c r="U392" s="130"/>
      <c r="V392" s="130"/>
      <c r="Y392" s="130"/>
      <c r="Z392" s="130"/>
    </row>
    <row r="393" spans="2:26" s="122" customFormat="1">
      <c r="B393" s="130"/>
      <c r="E393" s="130"/>
      <c r="F393" s="130"/>
      <c r="I393" s="130"/>
      <c r="J393" s="130"/>
      <c r="M393" s="130"/>
      <c r="N393" s="130"/>
      <c r="Q393" s="130"/>
      <c r="R393" s="130"/>
      <c r="U393" s="130"/>
      <c r="V393" s="130"/>
      <c r="Y393" s="130"/>
      <c r="Z393" s="130"/>
    </row>
    <row r="394" spans="2:26" s="122" customFormat="1">
      <c r="B394" s="130"/>
      <c r="E394" s="130"/>
      <c r="F394" s="130"/>
      <c r="I394" s="130"/>
      <c r="J394" s="130"/>
      <c r="M394" s="130"/>
      <c r="N394" s="130"/>
      <c r="Q394" s="130"/>
      <c r="R394" s="130"/>
      <c r="U394" s="130"/>
      <c r="V394" s="130"/>
      <c r="Y394" s="130"/>
      <c r="Z394" s="130"/>
    </row>
    <row r="395" spans="2:26" s="122" customFormat="1">
      <c r="B395" s="130"/>
      <c r="E395" s="130"/>
      <c r="F395" s="130"/>
      <c r="I395" s="130"/>
      <c r="J395" s="130"/>
      <c r="M395" s="130"/>
      <c r="N395" s="130"/>
      <c r="Q395" s="130"/>
      <c r="R395" s="130"/>
      <c r="U395" s="130"/>
      <c r="V395" s="130"/>
      <c r="Y395" s="130"/>
      <c r="Z395" s="130"/>
    </row>
    <row r="396" spans="2:26" s="122" customFormat="1">
      <c r="B396" s="130"/>
      <c r="E396" s="130"/>
      <c r="F396" s="130"/>
      <c r="I396" s="130"/>
      <c r="J396" s="130"/>
      <c r="M396" s="130"/>
      <c r="N396" s="130"/>
      <c r="Q396" s="130"/>
      <c r="R396" s="130"/>
      <c r="U396" s="130"/>
      <c r="V396" s="130"/>
      <c r="Y396" s="130"/>
      <c r="Z396" s="130"/>
    </row>
    <row r="397" spans="2:26" s="122" customFormat="1">
      <c r="B397" s="130"/>
      <c r="E397" s="130"/>
      <c r="F397" s="130"/>
      <c r="I397" s="130"/>
      <c r="J397" s="130"/>
      <c r="M397" s="130"/>
      <c r="N397" s="130"/>
      <c r="Q397" s="130"/>
      <c r="R397" s="130"/>
      <c r="U397" s="130"/>
      <c r="V397" s="130"/>
      <c r="Y397" s="130"/>
      <c r="Z397" s="130"/>
    </row>
    <row r="398" spans="2:26" s="122" customFormat="1">
      <c r="B398" s="130"/>
      <c r="E398" s="130"/>
      <c r="F398" s="130"/>
      <c r="I398" s="130"/>
      <c r="J398" s="130"/>
      <c r="M398" s="130"/>
      <c r="N398" s="130"/>
      <c r="Q398" s="130"/>
      <c r="R398" s="130"/>
      <c r="U398" s="130"/>
      <c r="V398" s="130"/>
      <c r="Y398" s="130"/>
      <c r="Z398" s="130"/>
    </row>
    <row r="399" spans="2:26" s="122" customFormat="1">
      <c r="B399" s="130"/>
      <c r="E399" s="130"/>
      <c r="F399" s="130"/>
      <c r="I399" s="130"/>
      <c r="J399" s="130"/>
      <c r="M399" s="130"/>
      <c r="N399" s="130"/>
      <c r="Q399" s="130"/>
      <c r="R399" s="130"/>
      <c r="U399" s="130"/>
      <c r="V399" s="130"/>
      <c r="Y399" s="130"/>
      <c r="Z399" s="130"/>
    </row>
    <row r="400" spans="2:26" s="122" customFormat="1">
      <c r="B400" s="130"/>
      <c r="E400" s="130"/>
      <c r="F400" s="130"/>
      <c r="I400" s="130"/>
      <c r="J400" s="130"/>
      <c r="M400" s="130"/>
      <c r="N400" s="130"/>
      <c r="Q400" s="130"/>
      <c r="R400" s="130"/>
      <c r="U400" s="130"/>
      <c r="V400" s="130"/>
      <c r="Y400" s="130"/>
      <c r="Z400" s="130"/>
    </row>
    <row r="401" spans="2:26" s="122" customFormat="1">
      <c r="B401" s="130"/>
      <c r="E401" s="130"/>
      <c r="F401" s="130"/>
      <c r="I401" s="130"/>
      <c r="J401" s="130"/>
      <c r="M401" s="130"/>
      <c r="N401" s="130"/>
      <c r="Q401" s="130"/>
      <c r="R401" s="130"/>
      <c r="U401" s="130"/>
      <c r="V401" s="130"/>
      <c r="Y401" s="130"/>
      <c r="Z401" s="130"/>
    </row>
    <row r="402" spans="2:26" s="122" customFormat="1">
      <c r="B402" s="130"/>
      <c r="E402" s="130"/>
      <c r="F402" s="130"/>
      <c r="I402" s="130"/>
      <c r="J402" s="130"/>
      <c r="M402" s="130"/>
      <c r="N402" s="130"/>
      <c r="Q402" s="130"/>
      <c r="R402" s="130"/>
      <c r="U402" s="130"/>
      <c r="V402" s="130"/>
      <c r="Y402" s="130"/>
      <c r="Z402" s="130"/>
    </row>
    <row r="403" spans="2:26" s="122" customFormat="1">
      <c r="B403" s="130"/>
      <c r="E403" s="130"/>
      <c r="F403" s="130"/>
      <c r="I403" s="130"/>
      <c r="J403" s="130"/>
      <c r="M403" s="130"/>
      <c r="N403" s="130"/>
      <c r="Q403" s="130"/>
      <c r="R403" s="130"/>
      <c r="U403" s="130"/>
      <c r="V403" s="130"/>
      <c r="Y403" s="130"/>
      <c r="Z403" s="130"/>
    </row>
    <row r="404" spans="2:26" s="122" customFormat="1">
      <c r="B404" s="130"/>
      <c r="E404" s="130"/>
      <c r="F404" s="130"/>
      <c r="I404" s="130"/>
      <c r="J404" s="130"/>
      <c r="M404" s="130"/>
      <c r="N404" s="130"/>
      <c r="Q404" s="130"/>
      <c r="R404" s="130"/>
      <c r="U404" s="130"/>
      <c r="V404" s="130"/>
      <c r="Y404" s="130"/>
      <c r="Z404" s="130"/>
    </row>
    <row r="405" spans="2:26" s="122" customFormat="1">
      <c r="B405" s="130"/>
      <c r="E405" s="130"/>
      <c r="F405" s="130"/>
      <c r="I405" s="130"/>
      <c r="J405" s="130"/>
      <c r="M405" s="130"/>
      <c r="N405" s="130"/>
      <c r="Q405" s="130"/>
      <c r="R405" s="130"/>
      <c r="U405" s="130"/>
      <c r="V405" s="130"/>
      <c r="Y405" s="130"/>
      <c r="Z405" s="130"/>
    </row>
    <row r="406" spans="2:26" s="122" customFormat="1">
      <c r="B406" s="130"/>
      <c r="E406" s="130"/>
      <c r="F406" s="130"/>
      <c r="I406" s="130"/>
      <c r="J406" s="130"/>
      <c r="M406" s="130"/>
      <c r="N406" s="130"/>
      <c r="Q406" s="130"/>
      <c r="R406" s="130"/>
      <c r="U406" s="130"/>
      <c r="V406" s="130"/>
      <c r="Y406" s="130"/>
      <c r="Z406" s="130"/>
    </row>
    <row r="407" spans="2:26" s="122" customFormat="1">
      <c r="B407" s="130"/>
      <c r="E407" s="130"/>
      <c r="F407" s="130"/>
      <c r="I407" s="130"/>
      <c r="J407" s="130"/>
      <c r="M407" s="130"/>
      <c r="N407" s="130"/>
      <c r="Q407" s="130"/>
      <c r="R407" s="130"/>
      <c r="U407" s="130"/>
      <c r="V407" s="130"/>
      <c r="Y407" s="130"/>
      <c r="Z407" s="130"/>
    </row>
    <row r="408" spans="2:26" s="122" customFormat="1">
      <c r="B408" s="130"/>
      <c r="E408" s="130"/>
      <c r="F408" s="130"/>
      <c r="I408" s="130"/>
      <c r="J408" s="130"/>
      <c r="M408" s="130"/>
      <c r="N408" s="130"/>
      <c r="Q408" s="130"/>
      <c r="R408" s="130"/>
      <c r="U408" s="130"/>
      <c r="V408" s="130"/>
      <c r="Y408" s="130"/>
      <c r="Z408" s="130"/>
    </row>
    <row r="409" spans="2:26" s="122" customFormat="1">
      <c r="B409" s="130"/>
      <c r="E409" s="130"/>
      <c r="F409" s="130"/>
      <c r="I409" s="130"/>
      <c r="J409" s="130"/>
      <c r="M409" s="130"/>
      <c r="N409" s="130"/>
      <c r="Q409" s="130"/>
      <c r="R409" s="130"/>
      <c r="U409" s="130"/>
      <c r="V409" s="130"/>
      <c r="Y409" s="130"/>
      <c r="Z409" s="130"/>
    </row>
    <row r="410" spans="2:26" s="122" customFormat="1">
      <c r="B410" s="130"/>
      <c r="E410" s="130"/>
      <c r="F410" s="130"/>
      <c r="I410" s="130"/>
      <c r="J410" s="130"/>
      <c r="M410" s="130"/>
      <c r="N410" s="130"/>
      <c r="Q410" s="130"/>
      <c r="R410" s="130"/>
      <c r="U410" s="130"/>
      <c r="V410" s="130"/>
      <c r="Y410" s="130"/>
      <c r="Z410" s="130"/>
    </row>
    <row r="411" spans="2:26" s="122" customFormat="1">
      <c r="B411" s="130"/>
      <c r="E411" s="130"/>
      <c r="F411" s="130"/>
      <c r="I411" s="130"/>
      <c r="J411" s="130"/>
      <c r="M411" s="130"/>
      <c r="N411" s="130"/>
      <c r="Q411" s="130"/>
      <c r="R411" s="130"/>
      <c r="U411" s="130"/>
      <c r="V411" s="130"/>
      <c r="Y411" s="130"/>
      <c r="Z411" s="130"/>
    </row>
    <row r="412" spans="2:26" s="122" customFormat="1">
      <c r="B412" s="130"/>
      <c r="E412" s="130"/>
      <c r="F412" s="130"/>
      <c r="I412" s="130"/>
      <c r="J412" s="130"/>
      <c r="M412" s="130"/>
      <c r="N412" s="130"/>
      <c r="Q412" s="130"/>
      <c r="R412" s="130"/>
      <c r="U412" s="130"/>
      <c r="V412" s="130"/>
      <c r="Y412" s="130"/>
      <c r="Z412" s="130"/>
    </row>
    <row r="413" spans="2:26" s="122" customFormat="1">
      <c r="B413" s="130"/>
      <c r="E413" s="130"/>
      <c r="F413" s="130"/>
      <c r="I413" s="130"/>
      <c r="J413" s="130"/>
      <c r="M413" s="130"/>
      <c r="N413" s="130"/>
      <c r="Q413" s="130"/>
      <c r="R413" s="130"/>
      <c r="U413" s="130"/>
      <c r="V413" s="130"/>
      <c r="Y413" s="130"/>
      <c r="Z413" s="130"/>
    </row>
    <row r="414" spans="2:26" s="122" customFormat="1">
      <c r="B414" s="130"/>
      <c r="E414" s="130"/>
      <c r="F414" s="130"/>
      <c r="I414" s="130"/>
      <c r="J414" s="130"/>
      <c r="M414" s="130"/>
      <c r="N414" s="130"/>
      <c r="Q414" s="130"/>
      <c r="R414" s="130"/>
      <c r="U414" s="130"/>
      <c r="V414" s="130"/>
      <c r="Y414" s="130"/>
      <c r="Z414" s="130"/>
    </row>
    <row r="415" spans="2:26" s="122" customFormat="1">
      <c r="B415" s="130"/>
      <c r="E415" s="130"/>
      <c r="F415" s="130"/>
      <c r="I415" s="130"/>
      <c r="J415" s="130"/>
      <c r="M415" s="130"/>
      <c r="N415" s="130"/>
      <c r="Q415" s="130"/>
      <c r="R415" s="130"/>
      <c r="U415" s="130"/>
      <c r="V415" s="130"/>
      <c r="Y415" s="130"/>
      <c r="Z415" s="130"/>
    </row>
    <row r="416" spans="2:26" s="122" customFormat="1">
      <c r="B416" s="130"/>
      <c r="E416" s="130"/>
      <c r="F416" s="130"/>
      <c r="I416" s="130"/>
      <c r="J416" s="130"/>
      <c r="M416" s="130"/>
      <c r="N416" s="130"/>
      <c r="Q416" s="130"/>
      <c r="R416" s="130"/>
      <c r="U416" s="130"/>
      <c r="V416" s="130"/>
      <c r="Y416" s="130"/>
      <c r="Z416" s="130"/>
    </row>
    <row r="417" spans="2:26" s="122" customFormat="1">
      <c r="B417" s="130"/>
      <c r="E417" s="130"/>
      <c r="F417" s="130"/>
      <c r="I417" s="130"/>
      <c r="J417" s="130"/>
      <c r="M417" s="130"/>
      <c r="N417" s="130"/>
      <c r="Q417" s="130"/>
      <c r="R417" s="130"/>
      <c r="U417" s="130"/>
      <c r="V417" s="130"/>
      <c r="Y417" s="130"/>
      <c r="Z417" s="130"/>
    </row>
    <row r="418" spans="2:26" s="122" customFormat="1">
      <c r="B418" s="130"/>
      <c r="E418" s="130"/>
      <c r="F418" s="130"/>
      <c r="I418" s="130"/>
      <c r="J418" s="130"/>
      <c r="M418" s="130"/>
      <c r="N418" s="130"/>
      <c r="Q418" s="130"/>
      <c r="R418" s="130"/>
      <c r="U418" s="130"/>
      <c r="V418" s="130"/>
      <c r="Y418" s="130"/>
      <c r="Z418" s="130"/>
    </row>
    <row r="419" spans="2:26" s="122" customFormat="1">
      <c r="B419" s="130"/>
      <c r="E419" s="130"/>
      <c r="F419" s="130"/>
      <c r="I419" s="130"/>
      <c r="J419" s="130"/>
      <c r="M419" s="130"/>
      <c r="N419" s="130"/>
      <c r="Q419" s="130"/>
      <c r="R419" s="130"/>
      <c r="U419" s="130"/>
      <c r="V419" s="130"/>
      <c r="Y419" s="130"/>
      <c r="Z419" s="130"/>
    </row>
    <row r="420" spans="2:26" s="122" customFormat="1">
      <c r="B420" s="130"/>
      <c r="E420" s="130"/>
      <c r="F420" s="130"/>
      <c r="I420" s="130"/>
      <c r="J420" s="130"/>
      <c r="M420" s="130"/>
      <c r="N420" s="130"/>
      <c r="Q420" s="130"/>
      <c r="R420" s="130"/>
      <c r="U420" s="130"/>
      <c r="V420" s="130"/>
      <c r="Y420" s="130"/>
      <c r="Z420" s="130"/>
    </row>
    <row r="421" spans="2:26" s="122" customFormat="1">
      <c r="B421" s="130"/>
      <c r="E421" s="130"/>
      <c r="F421" s="130"/>
      <c r="I421" s="130"/>
      <c r="J421" s="130"/>
      <c r="M421" s="130"/>
      <c r="N421" s="130"/>
      <c r="Q421" s="130"/>
      <c r="R421" s="130"/>
      <c r="U421" s="130"/>
      <c r="V421" s="130"/>
      <c r="Y421" s="130"/>
      <c r="Z421" s="130"/>
    </row>
    <row r="422" spans="2:26" s="122" customFormat="1">
      <c r="B422" s="130"/>
      <c r="E422" s="130"/>
      <c r="F422" s="130"/>
      <c r="I422" s="130"/>
      <c r="J422" s="130"/>
      <c r="M422" s="130"/>
      <c r="N422" s="130"/>
      <c r="Q422" s="130"/>
      <c r="R422" s="130"/>
      <c r="U422" s="130"/>
      <c r="V422" s="130"/>
      <c r="Y422" s="130"/>
      <c r="Z422" s="130"/>
    </row>
    <row r="423" spans="2:26" s="122" customFormat="1">
      <c r="B423" s="130"/>
      <c r="E423" s="130"/>
      <c r="F423" s="130"/>
      <c r="I423" s="130"/>
      <c r="J423" s="130"/>
      <c r="M423" s="130"/>
      <c r="N423" s="130"/>
      <c r="Q423" s="130"/>
      <c r="R423" s="130"/>
      <c r="U423" s="130"/>
      <c r="V423" s="130"/>
      <c r="Y423" s="130"/>
      <c r="Z423" s="130"/>
    </row>
    <row r="424" spans="2:26" s="122" customFormat="1">
      <c r="B424" s="130"/>
      <c r="E424" s="130"/>
      <c r="F424" s="130"/>
      <c r="I424" s="130"/>
      <c r="J424" s="130"/>
      <c r="M424" s="130"/>
      <c r="N424" s="130"/>
      <c r="Q424" s="130"/>
      <c r="R424" s="130"/>
      <c r="U424" s="130"/>
      <c r="V424" s="130"/>
      <c r="Y424" s="130"/>
      <c r="Z424" s="130"/>
    </row>
    <row r="425" spans="2:26" s="122" customFormat="1">
      <c r="B425" s="130"/>
      <c r="E425" s="130"/>
      <c r="F425" s="130"/>
      <c r="I425" s="130"/>
      <c r="J425" s="130"/>
      <c r="M425" s="130"/>
      <c r="N425" s="130"/>
      <c r="Q425" s="130"/>
      <c r="R425" s="130"/>
      <c r="U425" s="130"/>
      <c r="V425" s="130"/>
      <c r="Y425" s="130"/>
      <c r="Z425" s="130"/>
    </row>
    <row r="426" spans="2:26" s="122" customFormat="1">
      <c r="B426" s="130"/>
      <c r="E426" s="130"/>
      <c r="F426" s="130"/>
      <c r="I426" s="130"/>
      <c r="J426" s="130"/>
      <c r="M426" s="130"/>
      <c r="N426" s="130"/>
      <c r="Q426" s="130"/>
      <c r="R426" s="130"/>
      <c r="U426" s="130"/>
      <c r="V426" s="130"/>
      <c r="Y426" s="130"/>
      <c r="Z426" s="130"/>
    </row>
    <row r="427" spans="2:26" s="122" customFormat="1">
      <c r="B427" s="130"/>
      <c r="E427" s="130"/>
      <c r="F427" s="130"/>
      <c r="I427" s="130"/>
      <c r="J427" s="130"/>
      <c r="M427" s="130"/>
      <c r="N427" s="130"/>
      <c r="Q427" s="130"/>
      <c r="R427" s="130"/>
      <c r="U427" s="130"/>
      <c r="V427" s="130"/>
      <c r="Y427" s="130"/>
      <c r="Z427" s="130"/>
    </row>
    <row r="428" spans="2:26" s="122" customFormat="1">
      <c r="B428" s="130"/>
      <c r="E428" s="130"/>
      <c r="F428" s="130"/>
      <c r="I428" s="130"/>
      <c r="J428" s="130"/>
      <c r="M428" s="130"/>
      <c r="N428" s="130"/>
      <c r="Q428" s="130"/>
      <c r="R428" s="130"/>
      <c r="U428" s="130"/>
      <c r="V428" s="130"/>
      <c r="Y428" s="130"/>
      <c r="Z428" s="130"/>
    </row>
    <row r="429" spans="2:26" s="122" customFormat="1">
      <c r="B429" s="130"/>
      <c r="E429" s="130"/>
      <c r="F429" s="130"/>
      <c r="I429" s="130"/>
      <c r="J429" s="130"/>
      <c r="M429" s="130"/>
      <c r="N429" s="130"/>
      <c r="Q429" s="130"/>
      <c r="R429" s="130"/>
      <c r="U429" s="130"/>
      <c r="V429" s="130"/>
      <c r="Y429" s="130"/>
      <c r="Z429" s="130"/>
    </row>
    <row r="430" spans="2:26" s="122" customFormat="1">
      <c r="B430" s="130"/>
      <c r="E430" s="130"/>
      <c r="F430" s="130"/>
      <c r="I430" s="130"/>
      <c r="J430" s="130"/>
      <c r="M430" s="130"/>
      <c r="N430" s="130"/>
      <c r="Q430" s="130"/>
      <c r="R430" s="130"/>
      <c r="U430" s="130"/>
      <c r="V430" s="130"/>
      <c r="Y430" s="130"/>
      <c r="Z430" s="130"/>
    </row>
    <row r="431" spans="2:26" s="122" customFormat="1">
      <c r="B431" s="130"/>
      <c r="E431" s="130"/>
      <c r="F431" s="130"/>
      <c r="I431" s="130"/>
      <c r="J431" s="130"/>
      <c r="M431" s="130"/>
      <c r="N431" s="130"/>
      <c r="Q431" s="130"/>
      <c r="R431" s="130"/>
      <c r="U431" s="130"/>
      <c r="V431" s="130"/>
      <c r="Y431" s="130"/>
      <c r="Z431" s="130"/>
    </row>
    <row r="432" spans="2:26" s="122" customFormat="1">
      <c r="B432" s="130"/>
      <c r="E432" s="130"/>
      <c r="F432" s="130"/>
      <c r="I432" s="130"/>
      <c r="J432" s="130"/>
      <c r="M432" s="130"/>
      <c r="N432" s="130"/>
      <c r="Q432" s="130"/>
      <c r="R432" s="130"/>
      <c r="U432" s="130"/>
      <c r="V432" s="130"/>
      <c r="Y432" s="130"/>
      <c r="Z432" s="130"/>
    </row>
    <row r="433" spans="2:26" s="122" customFormat="1">
      <c r="B433" s="130"/>
      <c r="E433" s="130"/>
      <c r="F433" s="130"/>
      <c r="I433" s="130"/>
      <c r="J433" s="130"/>
      <c r="M433" s="130"/>
      <c r="N433" s="130"/>
      <c r="Q433" s="130"/>
      <c r="R433" s="130"/>
      <c r="U433" s="130"/>
      <c r="V433" s="130"/>
      <c r="Y433" s="130"/>
      <c r="Z433" s="130"/>
    </row>
    <row r="434" spans="2:26" s="122" customFormat="1">
      <c r="B434" s="130"/>
      <c r="E434" s="130"/>
      <c r="F434" s="130"/>
      <c r="I434" s="130"/>
      <c r="J434" s="130"/>
      <c r="M434" s="130"/>
      <c r="N434" s="130"/>
      <c r="Q434" s="130"/>
      <c r="R434" s="130"/>
      <c r="U434" s="130"/>
      <c r="V434" s="130"/>
      <c r="Y434" s="130"/>
      <c r="Z434" s="130"/>
    </row>
    <row r="435" spans="2:26" s="122" customFormat="1">
      <c r="B435" s="130"/>
      <c r="E435" s="130"/>
      <c r="F435" s="130"/>
      <c r="I435" s="130"/>
      <c r="J435" s="130"/>
      <c r="M435" s="130"/>
      <c r="N435" s="130"/>
      <c r="Q435" s="130"/>
      <c r="R435" s="130"/>
      <c r="U435" s="130"/>
      <c r="V435" s="130"/>
      <c r="Y435" s="130"/>
      <c r="Z435" s="130"/>
    </row>
    <row r="436" spans="2:26" s="122" customFormat="1">
      <c r="B436" s="130"/>
      <c r="E436" s="130"/>
      <c r="F436" s="130"/>
      <c r="I436" s="130"/>
      <c r="J436" s="130"/>
      <c r="M436" s="130"/>
      <c r="N436" s="130"/>
      <c r="Q436" s="130"/>
      <c r="R436" s="130"/>
      <c r="U436" s="130"/>
      <c r="V436" s="130"/>
      <c r="Y436" s="130"/>
      <c r="Z436" s="130"/>
    </row>
    <row r="437" spans="2:26" s="122" customFormat="1">
      <c r="B437" s="130"/>
      <c r="E437" s="130"/>
      <c r="F437" s="130"/>
      <c r="I437" s="130"/>
      <c r="J437" s="130"/>
      <c r="M437" s="130"/>
      <c r="N437" s="130"/>
      <c r="Q437" s="130"/>
      <c r="R437" s="130"/>
      <c r="U437" s="130"/>
      <c r="V437" s="130"/>
      <c r="Y437" s="130"/>
      <c r="Z437" s="130"/>
    </row>
    <row r="438" spans="2:26" s="122" customFormat="1">
      <c r="B438" s="130"/>
      <c r="E438" s="130"/>
      <c r="F438" s="130"/>
      <c r="I438" s="130"/>
      <c r="J438" s="130"/>
      <c r="M438" s="130"/>
      <c r="N438" s="130"/>
      <c r="Q438" s="130"/>
      <c r="R438" s="130"/>
      <c r="U438" s="130"/>
      <c r="V438" s="130"/>
      <c r="Y438" s="130"/>
      <c r="Z438" s="130"/>
    </row>
    <row r="439" spans="2:26" s="122" customFormat="1">
      <c r="B439" s="130"/>
      <c r="E439" s="130"/>
      <c r="F439" s="130"/>
      <c r="I439" s="130"/>
      <c r="J439" s="130"/>
      <c r="M439" s="130"/>
      <c r="N439" s="130"/>
      <c r="Q439" s="130"/>
      <c r="R439" s="130"/>
      <c r="U439" s="130"/>
      <c r="V439" s="130"/>
      <c r="Y439" s="130"/>
      <c r="Z439" s="130"/>
    </row>
    <row r="440" spans="2:26" s="122" customFormat="1">
      <c r="B440" s="130"/>
      <c r="E440" s="130"/>
      <c r="F440" s="130"/>
      <c r="I440" s="130"/>
      <c r="J440" s="130"/>
      <c r="M440" s="130"/>
      <c r="N440" s="130"/>
      <c r="Q440" s="130"/>
      <c r="R440" s="130"/>
      <c r="U440" s="130"/>
      <c r="V440" s="130"/>
      <c r="Y440" s="130"/>
      <c r="Z440" s="130"/>
    </row>
    <row r="441" spans="2:26" s="122" customFormat="1">
      <c r="B441" s="130"/>
      <c r="E441" s="130"/>
      <c r="F441" s="130"/>
      <c r="I441" s="130"/>
      <c r="J441" s="130"/>
      <c r="M441" s="130"/>
      <c r="N441" s="130"/>
      <c r="Q441" s="130"/>
      <c r="R441" s="130"/>
      <c r="U441" s="130"/>
      <c r="V441" s="130"/>
      <c r="Y441" s="130"/>
      <c r="Z441" s="130"/>
    </row>
    <row r="442" spans="2:26" s="122" customFormat="1">
      <c r="B442" s="130"/>
      <c r="E442" s="130"/>
      <c r="F442" s="130"/>
      <c r="I442" s="130"/>
      <c r="J442" s="130"/>
      <c r="M442" s="130"/>
      <c r="N442" s="130"/>
      <c r="Q442" s="130"/>
      <c r="R442" s="130"/>
      <c r="U442" s="130"/>
      <c r="V442" s="130"/>
      <c r="Y442" s="130"/>
      <c r="Z442" s="130"/>
    </row>
    <row r="443" spans="2:26" s="122" customFormat="1">
      <c r="B443" s="130"/>
      <c r="E443" s="130"/>
      <c r="F443" s="130"/>
      <c r="I443" s="130"/>
      <c r="J443" s="130"/>
      <c r="M443" s="130"/>
      <c r="N443" s="130"/>
      <c r="Q443" s="130"/>
      <c r="R443" s="130"/>
      <c r="U443" s="130"/>
      <c r="V443" s="130"/>
      <c r="Y443" s="130"/>
      <c r="Z443" s="130"/>
    </row>
    <row r="444" spans="2:26" s="122" customFormat="1">
      <c r="B444" s="130"/>
      <c r="E444" s="130"/>
      <c r="F444" s="130"/>
      <c r="I444" s="130"/>
      <c r="J444" s="130"/>
      <c r="M444" s="130"/>
      <c r="N444" s="130"/>
      <c r="Q444" s="130"/>
      <c r="R444" s="130"/>
      <c r="U444" s="130"/>
      <c r="V444" s="130"/>
      <c r="Y444" s="130"/>
      <c r="Z444" s="130"/>
    </row>
    <row r="445" spans="2:26" s="122" customFormat="1">
      <c r="B445" s="130"/>
      <c r="E445" s="130"/>
      <c r="F445" s="130"/>
      <c r="I445" s="130"/>
      <c r="J445" s="130"/>
      <c r="M445" s="130"/>
      <c r="N445" s="130"/>
      <c r="Q445" s="130"/>
      <c r="R445" s="130"/>
      <c r="U445" s="130"/>
      <c r="V445" s="130"/>
      <c r="Y445" s="130"/>
      <c r="Z445" s="130"/>
    </row>
    <row r="446" spans="2:26" s="122" customFormat="1">
      <c r="B446" s="130"/>
      <c r="E446" s="130"/>
      <c r="F446" s="130"/>
      <c r="I446" s="130"/>
      <c r="J446" s="130"/>
      <c r="M446" s="130"/>
      <c r="N446" s="130"/>
      <c r="Q446" s="130"/>
      <c r="R446" s="130"/>
      <c r="U446" s="130"/>
      <c r="V446" s="130"/>
      <c r="Y446" s="130"/>
      <c r="Z446" s="130"/>
    </row>
    <row r="447" spans="2:26" s="122" customFormat="1">
      <c r="B447" s="130"/>
      <c r="E447" s="130"/>
      <c r="F447" s="130"/>
      <c r="I447" s="130"/>
      <c r="J447" s="130"/>
      <c r="M447" s="130"/>
      <c r="N447" s="130"/>
      <c r="Q447" s="130"/>
      <c r="R447" s="130"/>
      <c r="U447" s="130"/>
      <c r="V447" s="130"/>
      <c r="Y447" s="130"/>
      <c r="Z447" s="130"/>
    </row>
    <row r="448" spans="2:26" s="122" customFormat="1">
      <c r="B448" s="130"/>
      <c r="E448" s="130"/>
      <c r="F448" s="130"/>
      <c r="I448" s="130"/>
      <c r="J448" s="130"/>
      <c r="M448" s="130"/>
      <c r="N448" s="130"/>
      <c r="Q448" s="130"/>
      <c r="R448" s="130"/>
      <c r="U448" s="130"/>
      <c r="V448" s="130"/>
      <c r="Y448" s="130"/>
      <c r="Z448" s="130"/>
    </row>
    <row r="449" spans="2:26" s="122" customFormat="1">
      <c r="B449" s="130"/>
      <c r="E449" s="130"/>
      <c r="F449" s="130"/>
      <c r="I449" s="130"/>
      <c r="J449" s="130"/>
      <c r="M449" s="130"/>
      <c r="N449" s="130"/>
      <c r="Q449" s="130"/>
      <c r="R449" s="130"/>
      <c r="U449" s="130"/>
      <c r="V449" s="130"/>
      <c r="Y449" s="130"/>
      <c r="Z449" s="130"/>
    </row>
    <row r="450" spans="2:26" s="122" customFormat="1">
      <c r="B450" s="130"/>
      <c r="E450" s="130"/>
      <c r="F450" s="130"/>
      <c r="I450" s="130"/>
      <c r="J450" s="130"/>
      <c r="M450" s="130"/>
      <c r="N450" s="130"/>
      <c r="Q450" s="130"/>
      <c r="R450" s="130"/>
      <c r="U450" s="130"/>
      <c r="V450" s="130"/>
      <c r="Y450" s="130"/>
      <c r="Z450" s="130"/>
    </row>
    <row r="451" spans="2:26" s="122" customFormat="1">
      <c r="B451" s="130"/>
      <c r="E451" s="130"/>
      <c r="F451" s="130"/>
      <c r="I451" s="130"/>
      <c r="J451" s="130"/>
      <c r="M451" s="130"/>
      <c r="N451" s="130"/>
      <c r="Q451" s="130"/>
      <c r="R451" s="130"/>
      <c r="U451" s="130"/>
      <c r="V451" s="130"/>
      <c r="Y451" s="130"/>
      <c r="Z451" s="130"/>
    </row>
    <row r="452" spans="2:26" s="122" customFormat="1">
      <c r="B452" s="130"/>
      <c r="E452" s="130"/>
      <c r="F452" s="130"/>
      <c r="I452" s="130"/>
      <c r="J452" s="130"/>
      <c r="M452" s="130"/>
      <c r="N452" s="130"/>
      <c r="Q452" s="130"/>
      <c r="R452" s="130"/>
      <c r="U452" s="130"/>
      <c r="V452" s="130"/>
      <c r="Y452" s="130"/>
      <c r="Z452" s="130"/>
    </row>
    <row r="453" spans="2:26" s="122" customFormat="1">
      <c r="B453" s="130"/>
      <c r="E453" s="130"/>
      <c r="F453" s="130"/>
      <c r="I453" s="130"/>
      <c r="J453" s="130"/>
      <c r="M453" s="130"/>
      <c r="N453" s="130"/>
      <c r="Q453" s="130"/>
      <c r="R453" s="130"/>
      <c r="U453" s="130"/>
      <c r="V453" s="130"/>
      <c r="Y453" s="130"/>
      <c r="Z453" s="130"/>
    </row>
    <row r="454" spans="2:26" s="122" customFormat="1">
      <c r="B454" s="130"/>
      <c r="E454" s="130"/>
      <c r="F454" s="130"/>
      <c r="I454" s="130"/>
      <c r="J454" s="130"/>
      <c r="M454" s="130"/>
      <c r="N454" s="130"/>
      <c r="Q454" s="130"/>
      <c r="R454" s="130"/>
      <c r="U454" s="130"/>
      <c r="V454" s="130"/>
      <c r="Y454" s="130"/>
      <c r="Z454" s="130"/>
    </row>
    <row r="455" spans="2:26" s="122" customFormat="1">
      <c r="B455" s="130"/>
      <c r="E455" s="130"/>
      <c r="F455" s="130"/>
      <c r="I455" s="130"/>
      <c r="J455" s="130"/>
      <c r="M455" s="130"/>
      <c r="N455" s="130"/>
      <c r="Q455" s="130"/>
      <c r="R455" s="130"/>
      <c r="U455" s="130"/>
      <c r="V455" s="130"/>
      <c r="Y455" s="130"/>
      <c r="Z455" s="130"/>
    </row>
    <row r="456" spans="2:26" s="122" customFormat="1">
      <c r="B456" s="130"/>
      <c r="E456" s="130"/>
      <c r="F456" s="130"/>
      <c r="I456" s="130"/>
      <c r="J456" s="130"/>
      <c r="M456" s="130"/>
      <c r="N456" s="130"/>
      <c r="Q456" s="130"/>
      <c r="R456" s="130"/>
      <c r="U456" s="130"/>
      <c r="V456" s="130"/>
      <c r="Y456" s="130"/>
      <c r="Z456" s="130"/>
    </row>
    <row r="457" spans="2:26" s="122" customFormat="1">
      <c r="B457" s="130"/>
      <c r="E457" s="130"/>
      <c r="F457" s="130"/>
      <c r="I457" s="130"/>
      <c r="J457" s="130"/>
      <c r="M457" s="130"/>
      <c r="N457" s="130"/>
      <c r="Q457" s="130"/>
      <c r="R457" s="130"/>
      <c r="U457" s="130"/>
      <c r="V457" s="130"/>
      <c r="Y457" s="130"/>
      <c r="Z457" s="130"/>
    </row>
    <row r="458" spans="2:26" s="122" customFormat="1">
      <c r="B458" s="130"/>
      <c r="E458" s="130"/>
      <c r="F458" s="130"/>
      <c r="I458" s="130"/>
      <c r="J458" s="130"/>
      <c r="M458" s="130"/>
      <c r="N458" s="130"/>
      <c r="Q458" s="130"/>
      <c r="R458" s="130"/>
      <c r="U458" s="130"/>
      <c r="V458" s="130"/>
      <c r="Y458" s="130"/>
      <c r="Z458" s="130"/>
    </row>
    <row r="459" spans="2:26" s="122" customFormat="1">
      <c r="B459" s="130"/>
      <c r="E459" s="130"/>
      <c r="F459" s="130"/>
      <c r="I459" s="130"/>
      <c r="J459" s="130"/>
      <c r="M459" s="130"/>
      <c r="N459" s="130"/>
      <c r="Q459" s="130"/>
      <c r="R459" s="130"/>
      <c r="U459" s="130"/>
      <c r="V459" s="130"/>
      <c r="Y459" s="130"/>
      <c r="Z459" s="130"/>
    </row>
    <row r="460" spans="2:26" s="122" customFormat="1">
      <c r="B460" s="130"/>
      <c r="E460" s="130"/>
      <c r="F460" s="130"/>
      <c r="I460" s="130"/>
      <c r="J460" s="130"/>
      <c r="M460" s="130"/>
      <c r="N460" s="130"/>
      <c r="Q460" s="130"/>
      <c r="R460" s="130"/>
      <c r="U460" s="130"/>
      <c r="V460" s="130"/>
      <c r="Y460" s="130"/>
      <c r="Z460" s="130"/>
    </row>
    <row r="461" spans="2:26" s="122" customFormat="1">
      <c r="B461" s="130"/>
      <c r="E461" s="130"/>
      <c r="F461" s="130"/>
      <c r="I461" s="130"/>
      <c r="J461" s="130"/>
      <c r="M461" s="130"/>
      <c r="N461" s="130"/>
      <c r="Q461" s="130"/>
      <c r="R461" s="130"/>
      <c r="U461" s="130"/>
      <c r="V461" s="130"/>
      <c r="Y461" s="130"/>
      <c r="Z461" s="130"/>
    </row>
    <row r="462" spans="2:26" s="122" customFormat="1">
      <c r="B462" s="130"/>
      <c r="E462" s="130"/>
      <c r="F462" s="130"/>
      <c r="I462" s="130"/>
      <c r="J462" s="130"/>
      <c r="M462" s="130"/>
      <c r="N462" s="130"/>
      <c r="Q462" s="130"/>
      <c r="R462" s="130"/>
      <c r="U462" s="130"/>
      <c r="V462" s="130"/>
      <c r="Y462" s="130"/>
      <c r="Z462" s="130"/>
    </row>
    <row r="463" spans="2:26" s="122" customFormat="1">
      <c r="B463" s="130"/>
      <c r="E463" s="130"/>
      <c r="F463" s="130"/>
      <c r="I463" s="130"/>
      <c r="J463" s="130"/>
      <c r="M463" s="130"/>
      <c r="N463" s="130"/>
      <c r="Q463" s="130"/>
      <c r="R463" s="130"/>
      <c r="U463" s="130"/>
      <c r="V463" s="130"/>
      <c r="Y463" s="130"/>
      <c r="Z463" s="130"/>
    </row>
    <row r="464" spans="2:26" s="122" customFormat="1">
      <c r="B464" s="130"/>
      <c r="E464" s="130"/>
      <c r="F464" s="130"/>
      <c r="I464" s="130"/>
      <c r="J464" s="130"/>
      <c r="M464" s="130"/>
      <c r="N464" s="130"/>
      <c r="Q464" s="130"/>
      <c r="R464" s="130"/>
      <c r="U464" s="130"/>
      <c r="V464" s="130"/>
      <c r="Y464" s="130"/>
      <c r="Z464" s="130"/>
    </row>
    <row r="465" spans="2:26" s="122" customFormat="1">
      <c r="B465" s="130"/>
      <c r="E465" s="130"/>
      <c r="F465" s="130"/>
      <c r="I465" s="130"/>
      <c r="J465" s="130"/>
      <c r="M465" s="130"/>
      <c r="N465" s="130"/>
      <c r="Q465" s="130"/>
      <c r="R465" s="130"/>
      <c r="U465" s="130"/>
      <c r="V465" s="130"/>
      <c r="Y465" s="130"/>
      <c r="Z465" s="130"/>
    </row>
    <row r="466" spans="2:26" s="122" customFormat="1">
      <c r="B466" s="130"/>
      <c r="E466" s="130"/>
      <c r="F466" s="130"/>
      <c r="I466" s="130"/>
      <c r="J466" s="130"/>
      <c r="M466" s="130"/>
      <c r="N466" s="130"/>
      <c r="Q466" s="130"/>
      <c r="R466" s="130"/>
      <c r="U466" s="130"/>
      <c r="V466" s="130"/>
      <c r="Y466" s="130"/>
      <c r="Z466" s="130"/>
    </row>
    <row r="467" spans="2:26" s="122" customFormat="1">
      <c r="B467" s="130"/>
      <c r="E467" s="130"/>
      <c r="F467" s="130"/>
      <c r="I467" s="130"/>
      <c r="J467" s="130"/>
      <c r="M467" s="130"/>
      <c r="N467" s="130"/>
      <c r="Q467" s="130"/>
      <c r="R467" s="130"/>
      <c r="U467" s="130"/>
      <c r="V467" s="130"/>
      <c r="Y467" s="130"/>
      <c r="Z467" s="130"/>
    </row>
    <row r="468" spans="2:26" s="122" customFormat="1">
      <c r="B468" s="130"/>
      <c r="E468" s="130"/>
      <c r="F468" s="130"/>
      <c r="I468" s="130"/>
      <c r="J468" s="130"/>
      <c r="M468" s="130"/>
      <c r="N468" s="130"/>
      <c r="Q468" s="130"/>
      <c r="R468" s="130"/>
      <c r="U468" s="130"/>
      <c r="V468" s="130"/>
      <c r="Y468" s="130"/>
      <c r="Z468" s="130"/>
    </row>
    <row r="469" spans="2:26" s="122" customFormat="1">
      <c r="B469" s="130"/>
      <c r="E469" s="130"/>
      <c r="F469" s="130"/>
      <c r="I469" s="130"/>
      <c r="J469" s="130"/>
      <c r="M469" s="130"/>
      <c r="N469" s="130"/>
      <c r="Q469" s="130"/>
      <c r="R469" s="130"/>
      <c r="U469" s="130"/>
      <c r="V469" s="130"/>
      <c r="Y469" s="130"/>
      <c r="Z469" s="130"/>
    </row>
    <row r="470" spans="2:26" s="122" customFormat="1">
      <c r="B470" s="130"/>
      <c r="E470" s="130"/>
      <c r="F470" s="130"/>
      <c r="I470" s="130"/>
      <c r="J470" s="130"/>
      <c r="M470" s="130"/>
      <c r="N470" s="130"/>
      <c r="Q470" s="130"/>
      <c r="R470" s="130"/>
      <c r="U470" s="130"/>
      <c r="V470" s="130"/>
      <c r="Y470" s="130"/>
      <c r="Z470" s="130"/>
    </row>
    <row r="471" spans="2:26" s="122" customFormat="1">
      <c r="B471" s="130"/>
      <c r="E471" s="130"/>
      <c r="F471" s="130"/>
      <c r="I471" s="130"/>
      <c r="J471" s="130"/>
      <c r="M471" s="130"/>
      <c r="N471" s="130"/>
      <c r="Q471" s="130"/>
      <c r="R471" s="130"/>
      <c r="U471" s="130"/>
      <c r="V471" s="130"/>
      <c r="Y471" s="130"/>
      <c r="Z471" s="130"/>
    </row>
    <row r="472" spans="2:26" s="122" customFormat="1">
      <c r="B472" s="130"/>
      <c r="E472" s="130"/>
      <c r="F472" s="130"/>
      <c r="I472" s="130"/>
      <c r="J472" s="130"/>
      <c r="M472" s="130"/>
      <c r="N472" s="130"/>
      <c r="Q472" s="130"/>
      <c r="R472" s="130"/>
      <c r="U472" s="130"/>
      <c r="V472" s="130"/>
      <c r="Y472" s="130"/>
      <c r="Z472" s="130"/>
    </row>
    <row r="473" spans="2:26" s="122" customFormat="1">
      <c r="B473" s="130"/>
      <c r="E473" s="130"/>
      <c r="F473" s="130"/>
      <c r="I473" s="130"/>
      <c r="J473" s="130"/>
      <c r="M473" s="130"/>
      <c r="N473" s="130"/>
      <c r="Q473" s="130"/>
      <c r="R473" s="130"/>
      <c r="U473" s="130"/>
      <c r="V473" s="130"/>
      <c r="Y473" s="130"/>
      <c r="Z473" s="130"/>
    </row>
    <row r="474" spans="2:26" s="122" customFormat="1">
      <c r="B474" s="130"/>
      <c r="E474" s="130"/>
      <c r="F474" s="130"/>
      <c r="I474" s="130"/>
      <c r="J474" s="130"/>
      <c r="M474" s="130"/>
      <c r="N474" s="130"/>
      <c r="Q474" s="130"/>
      <c r="R474" s="130"/>
      <c r="U474" s="130"/>
      <c r="V474" s="130"/>
      <c r="Y474" s="130"/>
      <c r="Z474" s="130"/>
    </row>
    <row r="475" spans="2:26" s="122" customFormat="1">
      <c r="B475" s="130"/>
      <c r="E475" s="130"/>
      <c r="F475" s="130"/>
      <c r="I475" s="130"/>
      <c r="J475" s="130"/>
      <c r="M475" s="130"/>
      <c r="N475" s="130"/>
      <c r="Q475" s="130"/>
      <c r="R475" s="130"/>
      <c r="U475" s="130"/>
      <c r="V475" s="130"/>
      <c r="Y475" s="130"/>
      <c r="Z475" s="130"/>
    </row>
    <row r="476" spans="2:26" s="122" customFormat="1">
      <c r="B476" s="130"/>
      <c r="E476" s="130"/>
      <c r="F476" s="130"/>
      <c r="I476" s="130"/>
      <c r="J476" s="130"/>
      <c r="M476" s="130"/>
      <c r="N476" s="130"/>
      <c r="Q476" s="130"/>
      <c r="R476" s="130"/>
      <c r="U476" s="130"/>
      <c r="V476" s="130"/>
      <c r="Y476" s="130"/>
      <c r="Z476" s="130"/>
    </row>
    <row r="477" spans="2:26" s="122" customFormat="1">
      <c r="B477" s="130"/>
      <c r="E477" s="130"/>
      <c r="F477" s="130"/>
      <c r="I477" s="130"/>
      <c r="J477" s="130"/>
      <c r="M477" s="130"/>
      <c r="N477" s="130"/>
      <c r="Q477" s="130"/>
      <c r="R477" s="130"/>
      <c r="U477" s="130"/>
      <c r="V477" s="130"/>
      <c r="Y477" s="130"/>
      <c r="Z477" s="130"/>
    </row>
    <row r="478" spans="2:26" s="122" customFormat="1">
      <c r="B478" s="130"/>
      <c r="E478" s="130"/>
      <c r="F478" s="130"/>
      <c r="I478" s="130"/>
      <c r="J478" s="130"/>
      <c r="M478" s="130"/>
      <c r="N478" s="130"/>
      <c r="Q478" s="130"/>
      <c r="R478" s="130"/>
      <c r="U478" s="130"/>
      <c r="V478" s="130"/>
      <c r="Y478" s="130"/>
      <c r="Z478" s="130"/>
    </row>
    <row r="479" spans="2:26" s="122" customFormat="1">
      <c r="B479" s="130"/>
      <c r="E479" s="130"/>
      <c r="F479" s="130"/>
      <c r="I479" s="130"/>
      <c r="J479" s="130"/>
      <c r="M479" s="130"/>
      <c r="N479" s="130"/>
      <c r="Q479" s="130"/>
      <c r="R479" s="130"/>
      <c r="U479" s="130"/>
      <c r="V479" s="130"/>
      <c r="Y479" s="130"/>
      <c r="Z479" s="130"/>
    </row>
    <row r="480" spans="2:26" s="122" customFormat="1">
      <c r="B480" s="130"/>
      <c r="E480" s="130"/>
      <c r="F480" s="130"/>
      <c r="I480" s="130"/>
      <c r="J480" s="130"/>
      <c r="M480" s="130"/>
      <c r="N480" s="130"/>
      <c r="Q480" s="130"/>
      <c r="R480" s="130"/>
      <c r="U480" s="130"/>
      <c r="V480" s="130"/>
      <c r="Y480" s="130"/>
      <c r="Z480" s="130"/>
    </row>
    <row r="481" spans="2:26" s="122" customFormat="1">
      <c r="B481" s="130"/>
      <c r="E481" s="130"/>
      <c r="F481" s="130"/>
      <c r="I481" s="130"/>
      <c r="J481" s="130"/>
      <c r="M481" s="130"/>
      <c r="N481" s="130"/>
      <c r="Q481" s="130"/>
      <c r="R481" s="130"/>
      <c r="U481" s="130"/>
      <c r="V481" s="130"/>
      <c r="Y481" s="130"/>
      <c r="Z481" s="130"/>
    </row>
    <row r="482" spans="2:26" s="122" customFormat="1">
      <c r="B482" s="130"/>
      <c r="E482" s="130"/>
      <c r="F482" s="130"/>
      <c r="I482" s="130"/>
      <c r="J482" s="130"/>
      <c r="M482" s="130"/>
      <c r="N482" s="130"/>
      <c r="Q482" s="130"/>
      <c r="R482" s="130"/>
      <c r="U482" s="130"/>
      <c r="V482" s="130"/>
      <c r="Y482" s="130"/>
      <c r="Z482" s="130"/>
    </row>
    <row r="483" spans="2:26" s="122" customFormat="1">
      <c r="B483" s="130"/>
      <c r="E483" s="130"/>
      <c r="F483" s="130"/>
      <c r="I483" s="130"/>
      <c r="J483" s="130"/>
      <c r="M483" s="130"/>
      <c r="N483" s="130"/>
      <c r="Q483" s="130"/>
      <c r="R483" s="130"/>
      <c r="U483" s="130"/>
      <c r="V483" s="130"/>
      <c r="Y483" s="130"/>
      <c r="Z483" s="130"/>
    </row>
    <row r="484" spans="2:26" s="122" customFormat="1">
      <c r="B484" s="130"/>
      <c r="E484" s="130"/>
      <c r="F484" s="130"/>
      <c r="I484" s="130"/>
      <c r="J484" s="130"/>
      <c r="M484" s="130"/>
      <c r="N484" s="130"/>
      <c r="Q484" s="130"/>
      <c r="R484" s="130"/>
      <c r="U484" s="130"/>
      <c r="V484" s="130"/>
      <c r="Y484" s="130"/>
      <c r="Z484" s="130"/>
    </row>
    <row r="485" spans="2:26" s="122" customFormat="1">
      <c r="B485" s="130"/>
      <c r="E485" s="130"/>
      <c r="F485" s="130"/>
      <c r="I485" s="130"/>
      <c r="J485" s="130"/>
      <c r="M485" s="130"/>
      <c r="N485" s="130"/>
      <c r="Q485" s="130"/>
      <c r="R485" s="130"/>
      <c r="U485" s="130"/>
      <c r="V485" s="130"/>
      <c r="Y485" s="130"/>
      <c r="Z485" s="130"/>
    </row>
    <row r="486" spans="2:26" s="122" customFormat="1">
      <c r="B486" s="130"/>
      <c r="E486" s="130"/>
      <c r="F486" s="130"/>
      <c r="I486" s="130"/>
      <c r="J486" s="130"/>
      <c r="M486" s="130"/>
      <c r="N486" s="130"/>
      <c r="Q486" s="130"/>
      <c r="R486" s="130"/>
      <c r="U486" s="130"/>
      <c r="V486" s="130"/>
      <c r="Y486" s="130"/>
      <c r="Z486" s="130"/>
    </row>
    <row r="487" spans="2:26" s="122" customFormat="1">
      <c r="B487" s="130"/>
      <c r="E487" s="130"/>
      <c r="F487" s="130"/>
      <c r="I487" s="130"/>
      <c r="J487" s="130"/>
      <c r="M487" s="130"/>
      <c r="N487" s="130"/>
      <c r="Q487" s="130"/>
      <c r="R487" s="130"/>
      <c r="U487" s="130"/>
      <c r="V487" s="130"/>
      <c r="Y487" s="130"/>
      <c r="Z487" s="130"/>
    </row>
    <row r="488" spans="2:26" s="122" customFormat="1">
      <c r="B488" s="130"/>
      <c r="E488" s="130"/>
      <c r="F488" s="130"/>
      <c r="I488" s="130"/>
      <c r="J488" s="130"/>
      <c r="M488" s="130"/>
      <c r="N488" s="130"/>
      <c r="Q488" s="130"/>
      <c r="R488" s="130"/>
      <c r="U488" s="130"/>
      <c r="V488" s="130"/>
      <c r="Y488" s="130"/>
      <c r="Z488" s="130"/>
    </row>
    <row r="489" spans="2:26" s="122" customFormat="1">
      <c r="B489" s="130"/>
      <c r="E489" s="130"/>
      <c r="F489" s="130"/>
      <c r="I489" s="130"/>
      <c r="J489" s="130"/>
      <c r="M489" s="130"/>
      <c r="N489" s="130"/>
      <c r="Q489" s="130"/>
      <c r="R489" s="130"/>
      <c r="U489" s="130"/>
      <c r="V489" s="130"/>
      <c r="Y489" s="130"/>
      <c r="Z489" s="130"/>
    </row>
    <row r="490" spans="2:26" s="122" customFormat="1">
      <c r="B490" s="130"/>
      <c r="E490" s="130"/>
      <c r="F490" s="130"/>
      <c r="I490" s="130"/>
      <c r="J490" s="130"/>
      <c r="M490" s="130"/>
      <c r="N490" s="130"/>
      <c r="Q490" s="130"/>
      <c r="R490" s="130"/>
      <c r="U490" s="130"/>
      <c r="V490" s="130"/>
      <c r="Y490" s="130"/>
      <c r="Z490" s="130"/>
    </row>
    <row r="491" spans="2:26" s="122" customFormat="1">
      <c r="B491" s="130"/>
      <c r="E491" s="130"/>
      <c r="F491" s="130"/>
      <c r="I491" s="130"/>
      <c r="J491" s="130"/>
      <c r="M491" s="130"/>
      <c r="N491" s="130"/>
      <c r="Q491" s="130"/>
      <c r="R491" s="130"/>
      <c r="U491" s="130"/>
      <c r="V491" s="130"/>
      <c r="Y491" s="130"/>
      <c r="Z491" s="130"/>
    </row>
    <row r="492" spans="2:26" s="122" customFormat="1">
      <c r="B492" s="130"/>
      <c r="E492" s="130"/>
      <c r="F492" s="130"/>
      <c r="I492" s="130"/>
      <c r="J492" s="130"/>
      <c r="M492" s="130"/>
      <c r="N492" s="130"/>
      <c r="Q492" s="130"/>
      <c r="R492" s="130"/>
      <c r="U492" s="130"/>
      <c r="V492" s="130"/>
      <c r="Y492" s="130"/>
      <c r="Z492" s="130"/>
    </row>
    <row r="493" spans="2:26" s="122" customFormat="1">
      <c r="B493" s="130"/>
      <c r="E493" s="130"/>
      <c r="F493" s="130"/>
      <c r="I493" s="130"/>
      <c r="J493" s="130"/>
      <c r="M493" s="130"/>
      <c r="N493" s="130"/>
      <c r="Q493" s="130"/>
      <c r="R493" s="130"/>
      <c r="U493" s="130"/>
      <c r="V493" s="130"/>
      <c r="Y493" s="130"/>
      <c r="Z493" s="130"/>
    </row>
    <row r="494" spans="2:26" s="122" customFormat="1">
      <c r="B494" s="130"/>
      <c r="E494" s="130"/>
      <c r="F494" s="130"/>
      <c r="I494" s="130"/>
      <c r="J494" s="130"/>
      <c r="M494" s="130"/>
      <c r="N494" s="130"/>
      <c r="Q494" s="130"/>
      <c r="R494" s="130"/>
      <c r="U494" s="130"/>
      <c r="V494" s="130"/>
      <c r="Y494" s="130"/>
      <c r="Z494" s="130"/>
    </row>
    <row r="495" spans="2:26" s="122" customFormat="1">
      <c r="B495" s="130"/>
      <c r="E495" s="130"/>
      <c r="F495" s="130"/>
      <c r="I495" s="130"/>
      <c r="J495" s="130"/>
      <c r="M495" s="130"/>
      <c r="N495" s="130"/>
      <c r="Q495" s="130"/>
      <c r="R495" s="130"/>
      <c r="U495" s="130"/>
      <c r="V495" s="130"/>
      <c r="Y495" s="130"/>
      <c r="Z495" s="130"/>
    </row>
    <row r="496" spans="2:26" s="122" customFormat="1">
      <c r="B496" s="130"/>
      <c r="E496" s="130"/>
      <c r="F496" s="130"/>
      <c r="I496" s="130"/>
      <c r="J496" s="130"/>
      <c r="M496" s="130"/>
      <c r="N496" s="130"/>
      <c r="Q496" s="130"/>
      <c r="R496" s="130"/>
      <c r="U496" s="130"/>
      <c r="V496" s="130"/>
      <c r="Y496" s="130"/>
      <c r="Z496" s="130"/>
    </row>
    <row r="497" spans="2:26" s="122" customFormat="1">
      <c r="B497" s="130"/>
      <c r="E497" s="130"/>
      <c r="F497" s="130"/>
      <c r="I497" s="130"/>
      <c r="J497" s="130"/>
      <c r="M497" s="130"/>
      <c r="N497" s="130"/>
      <c r="Q497" s="130"/>
      <c r="R497" s="130"/>
      <c r="U497" s="130"/>
      <c r="V497" s="130"/>
      <c r="Y497" s="130"/>
      <c r="Z497" s="130"/>
    </row>
    <row r="498" spans="2:26" s="122" customFormat="1">
      <c r="B498" s="130"/>
      <c r="E498" s="130"/>
      <c r="F498" s="130"/>
      <c r="I498" s="130"/>
      <c r="J498" s="130"/>
      <c r="M498" s="130"/>
      <c r="N498" s="130"/>
      <c r="Q498" s="130"/>
      <c r="R498" s="130"/>
      <c r="U498" s="130"/>
      <c r="V498" s="130"/>
      <c r="Y498" s="130"/>
      <c r="Z498" s="130"/>
    </row>
    <row r="499" spans="2:26" s="122" customFormat="1">
      <c r="B499" s="130"/>
      <c r="E499" s="130"/>
      <c r="F499" s="130"/>
      <c r="I499" s="130"/>
      <c r="J499" s="130"/>
      <c r="M499" s="130"/>
      <c r="N499" s="130"/>
      <c r="Q499" s="130"/>
      <c r="R499" s="130"/>
      <c r="U499" s="130"/>
      <c r="V499" s="130"/>
      <c r="Y499" s="130"/>
      <c r="Z499" s="130"/>
    </row>
    <row r="500" spans="2:26" s="122" customFormat="1">
      <c r="B500" s="130"/>
      <c r="E500" s="130"/>
      <c r="F500" s="130"/>
      <c r="I500" s="130"/>
      <c r="J500" s="130"/>
      <c r="M500" s="130"/>
      <c r="N500" s="130"/>
      <c r="Q500" s="130"/>
      <c r="R500" s="130"/>
      <c r="U500" s="130"/>
      <c r="V500" s="130"/>
      <c r="Y500" s="130"/>
      <c r="Z500" s="130"/>
    </row>
    <row r="501" spans="2:26" s="122" customFormat="1">
      <c r="B501" s="130"/>
      <c r="E501" s="130"/>
      <c r="F501" s="130"/>
      <c r="I501" s="130"/>
      <c r="J501" s="130"/>
      <c r="M501" s="130"/>
      <c r="N501" s="130"/>
      <c r="Q501" s="130"/>
      <c r="R501" s="130"/>
      <c r="U501" s="130"/>
      <c r="V501" s="130"/>
      <c r="Y501" s="130"/>
      <c r="Z501" s="130"/>
    </row>
    <row r="502" spans="2:26" s="122" customFormat="1">
      <c r="B502" s="130"/>
      <c r="E502" s="130"/>
      <c r="F502" s="130"/>
      <c r="I502" s="130"/>
      <c r="J502" s="130"/>
      <c r="M502" s="130"/>
      <c r="N502" s="130"/>
      <c r="Q502" s="130"/>
      <c r="R502" s="130"/>
      <c r="U502" s="130"/>
      <c r="V502" s="130"/>
      <c r="Y502" s="130"/>
      <c r="Z502" s="130"/>
    </row>
    <row r="503" spans="2:26" s="122" customFormat="1">
      <c r="B503" s="130"/>
      <c r="E503" s="130"/>
      <c r="F503" s="130"/>
      <c r="I503" s="130"/>
      <c r="J503" s="130"/>
      <c r="M503" s="130"/>
      <c r="N503" s="130"/>
      <c r="Q503" s="130"/>
      <c r="R503" s="130"/>
      <c r="U503" s="130"/>
      <c r="V503" s="130"/>
      <c r="Y503" s="130"/>
      <c r="Z503" s="130"/>
    </row>
    <row r="504" spans="2:26" s="122" customFormat="1">
      <c r="B504" s="130"/>
      <c r="E504" s="130"/>
      <c r="F504" s="130"/>
      <c r="I504" s="130"/>
      <c r="J504" s="130"/>
      <c r="M504" s="130"/>
      <c r="N504" s="130"/>
      <c r="Q504" s="130"/>
      <c r="R504" s="130"/>
      <c r="U504" s="130"/>
      <c r="V504" s="130"/>
      <c r="Y504" s="130"/>
      <c r="Z504" s="130"/>
    </row>
    <row r="505" spans="2:26" s="122" customFormat="1">
      <c r="B505" s="130"/>
      <c r="E505" s="130"/>
      <c r="F505" s="130"/>
      <c r="I505" s="130"/>
      <c r="J505" s="130"/>
      <c r="M505" s="130"/>
      <c r="N505" s="130"/>
      <c r="Q505" s="130"/>
      <c r="R505" s="130"/>
      <c r="U505" s="130"/>
      <c r="V505" s="130"/>
      <c r="Y505" s="130"/>
      <c r="Z505" s="130"/>
    </row>
    <row r="506" spans="2:26" s="122" customFormat="1">
      <c r="B506" s="130"/>
      <c r="E506" s="130"/>
      <c r="F506" s="130"/>
      <c r="I506" s="130"/>
      <c r="J506" s="130"/>
      <c r="M506" s="130"/>
      <c r="N506" s="130"/>
      <c r="Q506" s="130"/>
      <c r="R506" s="130"/>
      <c r="U506" s="130"/>
      <c r="V506" s="130"/>
      <c r="Y506" s="130"/>
      <c r="Z506" s="130"/>
    </row>
    <row r="507" spans="2:26" s="122" customFormat="1">
      <c r="B507" s="130"/>
      <c r="E507" s="130"/>
      <c r="F507" s="130"/>
      <c r="I507" s="130"/>
      <c r="J507" s="130"/>
      <c r="M507" s="130"/>
      <c r="N507" s="130"/>
      <c r="Q507" s="130"/>
      <c r="R507" s="130"/>
      <c r="U507" s="130"/>
      <c r="V507" s="130"/>
      <c r="Y507" s="130"/>
      <c r="Z507" s="130"/>
    </row>
    <row r="508" spans="2:26" s="122" customFormat="1">
      <c r="B508" s="130"/>
      <c r="E508" s="130"/>
      <c r="F508" s="130"/>
      <c r="I508" s="130"/>
      <c r="J508" s="130"/>
      <c r="M508" s="130"/>
      <c r="N508" s="130"/>
      <c r="Q508" s="130"/>
      <c r="R508" s="130"/>
      <c r="U508" s="130"/>
      <c r="V508" s="130"/>
      <c r="Y508" s="130"/>
      <c r="Z508" s="130"/>
    </row>
    <row r="509" spans="2:26" s="122" customFormat="1">
      <c r="B509" s="130"/>
      <c r="E509" s="130"/>
      <c r="F509" s="130"/>
      <c r="I509" s="130"/>
      <c r="J509" s="130"/>
      <c r="M509" s="130"/>
      <c r="N509" s="130"/>
      <c r="Q509" s="130"/>
      <c r="R509" s="130"/>
      <c r="U509" s="130"/>
      <c r="V509" s="130"/>
      <c r="Y509" s="130"/>
      <c r="Z509" s="130"/>
    </row>
    <row r="510" spans="2:26" s="122" customFormat="1">
      <c r="B510" s="130"/>
      <c r="E510" s="130"/>
      <c r="F510" s="130"/>
      <c r="I510" s="130"/>
      <c r="J510" s="130"/>
      <c r="M510" s="130"/>
      <c r="N510" s="130"/>
      <c r="Q510" s="130"/>
      <c r="R510" s="130"/>
      <c r="U510" s="130"/>
      <c r="V510" s="130"/>
      <c r="Y510" s="130"/>
      <c r="Z510" s="130"/>
    </row>
    <row r="511" spans="2:26" s="122" customFormat="1">
      <c r="B511" s="130"/>
      <c r="E511" s="130"/>
      <c r="F511" s="130"/>
      <c r="I511" s="130"/>
      <c r="J511" s="130"/>
      <c r="M511" s="130"/>
      <c r="N511" s="130"/>
      <c r="Q511" s="130"/>
      <c r="R511" s="130"/>
      <c r="U511" s="130"/>
      <c r="V511" s="130"/>
      <c r="Y511" s="130"/>
      <c r="Z511" s="130"/>
    </row>
    <row r="512" spans="2:26" s="122" customFormat="1">
      <c r="B512" s="130"/>
      <c r="E512" s="130"/>
      <c r="F512" s="130"/>
      <c r="I512" s="130"/>
      <c r="J512" s="130"/>
      <c r="M512" s="130"/>
      <c r="N512" s="130"/>
      <c r="Q512" s="130"/>
      <c r="R512" s="130"/>
      <c r="U512" s="130"/>
      <c r="V512" s="130"/>
      <c r="Y512" s="130"/>
      <c r="Z512" s="130"/>
    </row>
    <row r="513" spans="1:26">
      <c r="A513" s="122"/>
      <c r="B513" s="130"/>
      <c r="C513" s="122"/>
      <c r="D513" s="122"/>
      <c r="E513" s="130"/>
      <c r="F513" s="130"/>
      <c r="G513" s="122"/>
      <c r="H513" s="122"/>
      <c r="I513" s="130"/>
      <c r="J513" s="130"/>
      <c r="K513" s="122"/>
      <c r="L513" s="122"/>
      <c r="M513" s="130"/>
      <c r="N513" s="130"/>
      <c r="O513" s="122"/>
      <c r="P513" s="122"/>
      <c r="Q513" s="130"/>
      <c r="R513" s="130"/>
      <c r="S513" s="122"/>
      <c r="T513" s="122"/>
      <c r="U513" s="130"/>
      <c r="V513" s="130"/>
      <c r="W513" s="122"/>
      <c r="X513" s="122"/>
      <c r="Y513" s="130"/>
      <c r="Z513" s="130"/>
    </row>
  </sheetData>
  <mergeCells count="6">
    <mergeCell ref="X12:Z12"/>
    <mergeCell ref="D12:F12"/>
    <mergeCell ref="H12:J12"/>
    <mergeCell ref="L12:N12"/>
    <mergeCell ref="P12:R12"/>
    <mergeCell ref="T12:V12"/>
  </mergeCells>
  <phoneticPr fontId="2" type="noConversion"/>
  <conditionalFormatting sqref="A38 D38 H38 L38 P38 T38 X38">
    <cfRule type="cellIs" dxfId="13" priority="1" stopIfTrue="1" operator="equal">
      <formula>"Tensile"</formula>
    </cfRule>
    <cfRule type="cellIs" dxfId="12" priority="2" stopIfTrue="1" operator="equal">
      <formula>"Compressive"</formula>
    </cfRule>
    <cfRule type="cellIs" dxfId="11" priority="3" stopIfTrue="1" operator="equal">
      <formula>"Reversal"</formula>
    </cfRule>
  </conditionalFormatting>
  <pageMargins left="0.75" right="0.75" top="1" bottom="1" header="0.5" footer="0.5"/>
  <pageSetup paperSize="17" scale="77" orientation="landscape" verticalDpi="200" r:id="rId1"/>
  <headerFooter alignWithMargins="0"/>
</worksheet>
</file>

<file path=xl/worksheets/sheet3.xml><?xml version="1.0" encoding="utf-8"?>
<worksheet xmlns="http://schemas.openxmlformats.org/spreadsheetml/2006/main" xmlns:r="http://schemas.openxmlformats.org/officeDocument/2006/relationships">
  <sheetPr codeName="Sheet6">
    <pageSetUpPr fitToPage="1"/>
  </sheetPr>
  <dimension ref="A1:Y943"/>
  <sheetViews>
    <sheetView showGridLines="0" topLeftCell="A1288" zoomScaleNormal="100" workbookViewId="0">
      <selection activeCell="A1368" sqref="A1368"/>
    </sheetView>
  </sheetViews>
  <sheetFormatPr defaultRowHeight="12.75"/>
  <cols>
    <col min="2" max="2" width="11.28515625" customWidth="1"/>
    <col min="3" max="3" width="14.28515625" customWidth="1"/>
    <col min="4" max="4" width="15.42578125" customWidth="1"/>
    <col min="5" max="5" width="15.42578125" style="1" customWidth="1"/>
    <col min="6" max="6" width="17" style="1" customWidth="1"/>
    <col min="7" max="7" width="28.28515625" style="1" customWidth="1"/>
    <col min="8" max="8" width="22.5703125" style="1" customWidth="1"/>
    <col min="9" max="9" width="24.85546875" style="1" customWidth="1"/>
    <col min="10" max="10" width="20.28515625" style="1" customWidth="1"/>
    <col min="11" max="11" width="17.85546875" style="1" customWidth="1"/>
    <col min="12" max="12" width="15.5703125" style="1" customWidth="1"/>
    <col min="13" max="13" width="16.7109375" style="1" customWidth="1"/>
    <col min="14" max="14" width="17.5703125" style="1" customWidth="1"/>
    <col min="15" max="15" width="17.28515625" customWidth="1"/>
    <col min="16" max="16" width="17.85546875" customWidth="1"/>
    <col min="17" max="17" width="17.28515625" customWidth="1"/>
    <col min="18" max="18" width="17.85546875" style="66" customWidth="1"/>
    <col min="19" max="19" width="17.85546875" customWidth="1"/>
    <col min="20" max="20" width="16.7109375" customWidth="1"/>
    <col min="21" max="21" width="17.5703125" customWidth="1"/>
    <col min="22" max="22" width="40" customWidth="1"/>
    <col min="23" max="23" width="17.85546875" customWidth="1"/>
    <col min="24" max="24" width="28.140625" customWidth="1"/>
    <col min="25" max="25" width="17.85546875" customWidth="1"/>
    <col min="26" max="26" width="15.5703125" customWidth="1"/>
    <col min="27" max="27" width="16.7109375" customWidth="1"/>
    <col min="28" max="28" width="17.5703125" customWidth="1"/>
    <col min="29" max="29" width="40" customWidth="1"/>
    <col min="30" max="30" width="17.85546875" customWidth="1"/>
    <col min="31" max="31" width="28.140625" customWidth="1"/>
    <col min="32" max="32" width="19.85546875" customWidth="1"/>
    <col min="33" max="33" width="21.85546875" customWidth="1"/>
  </cols>
  <sheetData>
    <row r="1" spans="1:14">
      <c r="A1" s="78" t="s">
        <v>175</v>
      </c>
      <c r="B1" s="79">
        <v>1</v>
      </c>
    </row>
    <row r="2" spans="1:14" ht="15.75">
      <c r="A2" s="140" t="s">
        <v>33</v>
      </c>
      <c r="B2" s="122"/>
      <c r="D2" s="1"/>
      <c r="N2"/>
    </row>
    <row r="3" spans="1:14" ht="15.75">
      <c r="A3" s="141" t="s">
        <v>32</v>
      </c>
      <c r="B3" s="122"/>
      <c r="D3" s="1"/>
      <c r="N3"/>
    </row>
    <row r="4" spans="1:14">
      <c r="D4" s="1"/>
      <c r="N4"/>
    </row>
    <row r="5" spans="1:14">
      <c r="A5" s="78" t="s">
        <v>175</v>
      </c>
      <c r="B5" s="79">
        <v>2</v>
      </c>
      <c r="D5" s="1"/>
      <c r="N5"/>
    </row>
    <row r="6" spans="1:14">
      <c r="A6" s="122" t="s">
        <v>27</v>
      </c>
      <c r="D6" s="1"/>
      <c r="N6"/>
    </row>
    <row r="7" spans="1:14">
      <c r="A7" s="122" t="s">
        <v>28</v>
      </c>
      <c r="D7" s="1"/>
      <c r="N7"/>
    </row>
    <row r="8" spans="1:14">
      <c r="A8" s="122" t="s">
        <v>29</v>
      </c>
      <c r="D8" s="1"/>
      <c r="N8"/>
    </row>
    <row r="9" spans="1:14">
      <c r="A9" s="122" t="s">
        <v>30</v>
      </c>
      <c r="D9" s="1"/>
      <c r="N9"/>
    </row>
    <row r="10" spans="1:14">
      <c r="A10" s="122" t="s">
        <v>26</v>
      </c>
      <c r="D10" s="1"/>
      <c r="N10"/>
    </row>
    <row r="11" spans="1:14">
      <c r="D11" s="1"/>
      <c r="N11"/>
    </row>
    <row r="12" spans="1:14">
      <c r="D12" s="1"/>
      <c r="K12" s="8"/>
      <c r="L12" s="8"/>
      <c r="M12" s="8"/>
      <c r="N12"/>
    </row>
    <row r="13" spans="1:14" ht="21" customHeight="1">
      <c r="A13" s="296" t="s">
        <v>205</v>
      </c>
      <c r="B13" s="296"/>
      <c r="C13" s="296"/>
      <c r="D13" s="297"/>
      <c r="E13" s="297"/>
      <c r="F13" s="297"/>
      <c r="G13" s="297"/>
      <c r="H13" s="298"/>
      <c r="I13" s="298"/>
      <c r="K13" s="8"/>
      <c r="L13" s="8"/>
      <c r="M13" s="8"/>
      <c r="N13"/>
    </row>
    <row r="14" spans="1:14">
      <c r="D14" s="1"/>
      <c r="N14"/>
    </row>
    <row r="15" spans="1:14">
      <c r="D15" s="1"/>
      <c r="N15"/>
    </row>
    <row r="16" spans="1:14" s="182" customFormat="1">
      <c r="A16" s="180" t="s">
        <v>175</v>
      </c>
      <c r="B16" s="181">
        <v>3</v>
      </c>
      <c r="D16" s="183"/>
      <c r="E16" s="183"/>
      <c r="F16" s="183"/>
      <c r="G16" s="183"/>
      <c r="H16" s="183"/>
      <c r="I16" s="183"/>
      <c r="J16" s="183"/>
      <c r="K16" s="183"/>
      <c r="L16" s="183"/>
      <c r="M16" s="183"/>
    </row>
    <row r="17" spans="1:25" s="300" customFormat="1" ht="44.25" customHeight="1">
      <c r="A17" s="462" t="s">
        <v>47</v>
      </c>
      <c r="B17" s="463"/>
      <c r="C17" s="442" t="s">
        <v>121</v>
      </c>
      <c r="D17" s="454"/>
      <c r="E17" s="454"/>
      <c r="F17" s="454"/>
      <c r="G17" s="454"/>
      <c r="H17" s="454"/>
      <c r="I17" s="454"/>
      <c r="J17" s="454"/>
      <c r="K17" s="455"/>
      <c r="L17" s="439" t="s">
        <v>127</v>
      </c>
      <c r="M17" s="461"/>
      <c r="N17" s="461"/>
      <c r="O17" s="461"/>
      <c r="P17" s="461"/>
      <c r="Q17" s="461"/>
      <c r="R17" s="461"/>
      <c r="S17" s="461"/>
      <c r="T17" s="441"/>
      <c r="U17" s="299"/>
      <c r="V17" s="299"/>
      <c r="W17" s="299"/>
      <c r="X17" s="299"/>
    </row>
    <row r="18" spans="1:25" s="302" customFormat="1" ht="81" customHeight="1">
      <c r="A18" s="301" t="s">
        <v>452</v>
      </c>
      <c r="B18" s="301" t="s">
        <v>142</v>
      </c>
      <c r="C18" s="275" t="s">
        <v>39</v>
      </c>
      <c r="D18" s="275" t="s">
        <v>141</v>
      </c>
      <c r="E18" s="275" t="s">
        <v>48</v>
      </c>
      <c r="F18" s="275" t="s">
        <v>122</v>
      </c>
      <c r="G18" s="275" t="s">
        <v>99</v>
      </c>
      <c r="H18" s="275" t="s">
        <v>123</v>
      </c>
      <c r="I18" s="275" t="s">
        <v>100</v>
      </c>
      <c r="J18" s="275" t="s">
        <v>453</v>
      </c>
      <c r="K18" s="275" t="s">
        <v>454</v>
      </c>
      <c r="L18" s="275" t="s">
        <v>124</v>
      </c>
      <c r="M18" s="275" t="s">
        <v>133</v>
      </c>
      <c r="N18" s="275" t="s">
        <v>125</v>
      </c>
      <c r="O18" s="275" t="s">
        <v>126</v>
      </c>
      <c r="P18" s="275" t="s">
        <v>232</v>
      </c>
      <c r="Q18" s="275" t="s">
        <v>233</v>
      </c>
      <c r="R18" s="275" t="s">
        <v>234</v>
      </c>
      <c r="S18" s="275" t="s">
        <v>235</v>
      </c>
      <c r="T18" s="275" t="s">
        <v>455</v>
      </c>
      <c r="U18" s="277"/>
      <c r="V18" s="277"/>
      <c r="W18" s="277"/>
      <c r="X18" s="277"/>
    </row>
    <row r="19" spans="1:25" s="302" customFormat="1">
      <c r="A19" s="305"/>
      <c r="B19" s="305"/>
      <c r="C19" s="306"/>
      <c r="D19" s="307"/>
      <c r="E19" s="308"/>
      <c r="F19" s="309"/>
      <c r="G19" s="309"/>
      <c r="H19" s="309"/>
      <c r="I19" s="309"/>
      <c r="J19" s="309"/>
      <c r="K19" s="276"/>
      <c r="L19" s="308"/>
      <c r="M19" s="308"/>
      <c r="N19" s="310"/>
      <c r="O19" s="310"/>
      <c r="P19" s="276"/>
      <c r="Q19" s="276"/>
      <c r="R19" s="276"/>
      <c r="S19" s="276"/>
      <c r="T19" s="276"/>
      <c r="U19" s="277"/>
      <c r="V19" s="277"/>
      <c r="W19" s="277"/>
      <c r="X19" s="277"/>
    </row>
    <row r="20" spans="1:25" s="302" customFormat="1">
      <c r="A20" s="305"/>
      <c r="B20" s="305"/>
      <c r="C20" s="306"/>
      <c r="D20" s="307"/>
      <c r="E20" s="308"/>
      <c r="F20" s="309"/>
      <c r="G20" s="309"/>
      <c r="H20" s="309"/>
      <c r="I20" s="309"/>
      <c r="J20" s="309"/>
      <c r="K20" s="276"/>
      <c r="L20" s="308"/>
      <c r="M20" s="308"/>
      <c r="N20" s="310"/>
      <c r="O20" s="310"/>
      <c r="P20" s="276"/>
      <c r="Q20" s="276"/>
      <c r="R20" s="276"/>
      <c r="S20" s="276"/>
      <c r="T20" s="276"/>
      <c r="U20" s="277"/>
      <c r="V20" s="277"/>
      <c r="W20" s="277"/>
      <c r="X20" s="277"/>
    </row>
    <row r="21" spans="1:25" s="304" customFormat="1">
      <c r="A21" s="305"/>
      <c r="B21" s="305"/>
      <c r="C21" s="306"/>
      <c r="D21" s="307"/>
      <c r="E21" s="308"/>
      <c r="F21" s="309"/>
      <c r="G21" s="309"/>
      <c r="H21" s="309"/>
      <c r="I21" s="309"/>
      <c r="J21" s="309"/>
      <c r="K21" s="276"/>
      <c r="L21" s="308"/>
      <c r="M21" s="308"/>
      <c r="N21" s="310"/>
      <c r="O21" s="310"/>
      <c r="P21" s="276"/>
      <c r="Q21" s="276"/>
      <c r="R21" s="276"/>
      <c r="S21" s="276"/>
      <c r="T21" s="276"/>
      <c r="U21" s="303"/>
      <c r="V21" s="303"/>
      <c r="W21" s="303"/>
      <c r="X21" s="303"/>
    </row>
    <row r="22" spans="1:25" s="302" customFormat="1" ht="13.5" customHeight="1">
      <c r="A22" s="305"/>
      <c r="B22" s="305"/>
      <c r="C22" s="306"/>
      <c r="D22" s="307"/>
      <c r="E22" s="308"/>
      <c r="F22" s="309"/>
      <c r="G22" s="309"/>
      <c r="H22" s="309"/>
      <c r="I22" s="309"/>
      <c r="J22" s="309"/>
      <c r="K22" s="276"/>
      <c r="L22" s="308"/>
      <c r="M22" s="308"/>
      <c r="N22" s="310"/>
      <c r="O22" s="310"/>
      <c r="P22" s="276"/>
      <c r="Q22" s="276"/>
      <c r="R22" s="276"/>
      <c r="S22" s="276"/>
      <c r="T22" s="276"/>
      <c r="U22" s="277"/>
      <c r="V22" s="277"/>
      <c r="W22" s="277"/>
      <c r="X22" s="277"/>
    </row>
    <row r="23" spans="1:25" s="304" customFormat="1">
      <c r="A23" s="305"/>
      <c r="B23" s="305"/>
      <c r="C23" s="306"/>
      <c r="D23" s="307"/>
      <c r="E23" s="308"/>
      <c r="F23" s="309"/>
      <c r="G23" s="309"/>
      <c r="H23" s="309"/>
      <c r="I23" s="309"/>
      <c r="J23" s="309"/>
      <c r="K23" s="276"/>
      <c r="L23" s="308"/>
      <c r="M23" s="308"/>
      <c r="N23" s="310"/>
      <c r="O23" s="310"/>
      <c r="P23" s="276"/>
      <c r="Q23" s="276"/>
      <c r="R23" s="276"/>
      <c r="S23" s="276"/>
      <c r="T23" s="276"/>
      <c r="U23" s="303"/>
      <c r="V23" s="303"/>
      <c r="W23" s="303"/>
      <c r="X23" s="303"/>
    </row>
    <row r="24" spans="1:25" s="302" customFormat="1">
      <c r="A24" s="305"/>
      <c r="B24" s="305"/>
      <c r="C24" s="306"/>
      <c r="D24" s="307"/>
      <c r="E24" s="308"/>
      <c r="F24" s="309"/>
      <c r="G24" s="309"/>
      <c r="H24" s="309"/>
      <c r="I24" s="309"/>
      <c r="J24" s="309"/>
      <c r="K24" s="276"/>
      <c r="L24" s="308"/>
      <c r="M24" s="308"/>
      <c r="N24" s="310"/>
      <c r="O24" s="310"/>
      <c r="P24" s="276"/>
      <c r="Q24" s="276"/>
      <c r="R24" s="276"/>
      <c r="S24" s="276"/>
      <c r="T24" s="276"/>
      <c r="U24" s="277"/>
      <c r="V24" s="277"/>
      <c r="W24" s="277"/>
      <c r="X24" s="277"/>
    </row>
    <row r="25" spans="1:25" s="304" customFormat="1">
      <c r="A25" s="305"/>
      <c r="B25" s="305"/>
      <c r="C25" s="306"/>
      <c r="D25" s="307"/>
      <c r="E25" s="308"/>
      <c r="F25" s="309"/>
      <c r="G25" s="309"/>
      <c r="H25" s="309"/>
      <c r="I25" s="309"/>
      <c r="J25" s="309"/>
      <c r="K25" s="276"/>
      <c r="L25" s="308"/>
      <c r="M25" s="308"/>
      <c r="N25" s="310"/>
      <c r="O25" s="310"/>
      <c r="P25" s="276"/>
      <c r="Q25" s="276"/>
      <c r="R25" s="276"/>
      <c r="S25" s="276"/>
      <c r="T25" s="276"/>
    </row>
    <row r="26" spans="1:25" s="302" customFormat="1">
      <c r="A26" s="305"/>
      <c r="B26" s="305"/>
      <c r="C26" s="306"/>
      <c r="D26" s="307"/>
      <c r="E26" s="308"/>
      <c r="F26" s="309"/>
      <c r="G26" s="309"/>
      <c r="H26" s="309"/>
      <c r="I26" s="309"/>
      <c r="J26" s="309"/>
      <c r="K26" s="276"/>
      <c r="L26" s="308"/>
      <c r="M26" s="308"/>
      <c r="N26" s="310"/>
      <c r="O26" s="310"/>
      <c r="P26" s="276"/>
      <c r="Q26" s="276"/>
      <c r="R26" s="276"/>
      <c r="S26" s="276"/>
      <c r="T26" s="276"/>
      <c r="U26" s="304"/>
      <c r="V26" s="304"/>
      <c r="W26" s="304"/>
      <c r="X26" s="304"/>
      <c r="Y26" s="304"/>
    </row>
    <row r="27" spans="1:25" s="304" customFormat="1">
      <c r="A27" s="305"/>
      <c r="B27" s="305"/>
      <c r="C27" s="306"/>
      <c r="D27" s="307"/>
      <c r="E27" s="308"/>
      <c r="F27" s="309"/>
      <c r="G27" s="309"/>
      <c r="H27" s="309"/>
      <c r="I27" s="309"/>
      <c r="J27" s="309"/>
      <c r="K27" s="276"/>
      <c r="L27" s="308"/>
      <c r="M27" s="308"/>
      <c r="N27" s="310"/>
      <c r="O27" s="310"/>
      <c r="P27" s="276"/>
      <c r="Q27" s="276"/>
      <c r="R27" s="276"/>
      <c r="S27" s="276"/>
      <c r="T27" s="276"/>
    </row>
    <row r="28" spans="1:25" s="302" customFormat="1">
      <c r="A28" s="305"/>
      <c r="B28" s="305"/>
      <c r="C28" s="306"/>
      <c r="D28" s="307"/>
      <c r="E28" s="308"/>
      <c r="F28" s="309"/>
      <c r="G28" s="309"/>
      <c r="H28" s="309"/>
      <c r="I28" s="309"/>
      <c r="J28" s="309"/>
      <c r="K28" s="276"/>
      <c r="L28" s="308"/>
      <c r="M28" s="308"/>
      <c r="N28" s="310"/>
      <c r="O28" s="310"/>
      <c r="P28" s="276"/>
      <c r="Q28" s="276"/>
      <c r="R28" s="276"/>
      <c r="S28" s="276"/>
      <c r="T28" s="276"/>
      <c r="U28" s="304"/>
      <c r="V28" s="304"/>
      <c r="W28" s="304"/>
      <c r="X28" s="304"/>
      <c r="Y28" s="304"/>
    </row>
    <row r="29" spans="1:25" s="304" customFormat="1">
      <c r="A29" s="305"/>
      <c r="B29" s="311"/>
      <c r="C29" s="306"/>
      <c r="D29" s="307"/>
      <c r="E29" s="308"/>
      <c r="F29" s="309"/>
      <c r="G29" s="309"/>
      <c r="H29" s="309"/>
      <c r="I29" s="309"/>
      <c r="J29" s="309"/>
      <c r="K29" s="276"/>
      <c r="L29" s="308"/>
      <c r="M29" s="308"/>
      <c r="N29" s="310"/>
      <c r="O29" s="310"/>
      <c r="P29" s="276"/>
      <c r="Q29" s="276"/>
      <c r="R29" s="276"/>
      <c r="S29" s="276"/>
      <c r="T29" s="276"/>
      <c r="U29" s="303"/>
      <c r="V29" s="303"/>
      <c r="W29" s="303"/>
      <c r="X29" s="303"/>
    </row>
    <row r="30" spans="1:25" s="302" customFormat="1">
      <c r="A30" s="305"/>
      <c r="B30" s="311"/>
      <c r="C30" s="306"/>
      <c r="D30" s="307"/>
      <c r="E30" s="308"/>
      <c r="F30" s="309"/>
      <c r="G30" s="309"/>
      <c r="H30" s="309"/>
      <c r="I30" s="309"/>
      <c r="J30" s="309"/>
      <c r="K30" s="276"/>
      <c r="L30" s="308"/>
      <c r="M30" s="308"/>
      <c r="N30" s="310"/>
      <c r="O30" s="310"/>
      <c r="P30" s="276"/>
      <c r="Q30" s="276"/>
      <c r="R30" s="276"/>
      <c r="S30" s="276"/>
      <c r="T30" s="276"/>
      <c r="U30" s="277"/>
      <c r="V30" s="277"/>
      <c r="W30" s="277"/>
      <c r="X30" s="277"/>
    </row>
    <row r="31" spans="1:25" s="302" customFormat="1">
      <c r="A31" s="305"/>
      <c r="B31" s="312"/>
      <c r="C31" s="306"/>
      <c r="D31" s="307"/>
      <c r="E31" s="308"/>
      <c r="F31" s="309"/>
      <c r="G31" s="309"/>
      <c r="H31" s="309"/>
      <c r="I31" s="309"/>
      <c r="J31" s="309"/>
      <c r="K31" s="276"/>
      <c r="L31" s="308"/>
      <c r="M31" s="308"/>
      <c r="N31" s="310"/>
      <c r="O31" s="310"/>
      <c r="P31" s="276"/>
      <c r="Q31" s="276"/>
      <c r="R31" s="276"/>
      <c r="S31" s="276"/>
      <c r="T31" s="276"/>
      <c r="U31" s="277"/>
      <c r="V31" s="277"/>
      <c r="W31" s="277"/>
      <c r="X31" s="277"/>
    </row>
    <row r="32" spans="1:25" s="302" customFormat="1">
      <c r="A32" s="313"/>
      <c r="B32" s="312"/>
      <c r="C32" s="312"/>
      <c r="D32" s="307"/>
      <c r="E32" s="308"/>
      <c r="F32" s="314"/>
      <c r="G32" s="314"/>
      <c r="H32" s="309"/>
      <c r="I32" s="309"/>
      <c r="J32" s="314"/>
      <c r="K32" s="276"/>
      <c r="L32" s="308"/>
      <c r="M32" s="308"/>
      <c r="N32" s="310"/>
      <c r="O32" s="310"/>
      <c r="P32" s="276"/>
      <c r="Q32" s="276"/>
      <c r="R32" s="276"/>
      <c r="S32" s="276"/>
      <c r="T32" s="276"/>
      <c r="U32" s="277"/>
      <c r="V32" s="277"/>
      <c r="W32" s="277"/>
      <c r="X32" s="277"/>
    </row>
    <row r="33" spans="1:24" s="302" customFormat="1">
      <c r="A33" s="313"/>
      <c r="B33" s="312"/>
      <c r="C33" s="312"/>
      <c r="D33" s="307"/>
      <c r="E33" s="308"/>
      <c r="F33" s="314"/>
      <c r="G33" s="314"/>
      <c r="H33" s="314"/>
      <c r="I33" s="314"/>
      <c r="J33" s="314"/>
      <c r="K33" s="276"/>
      <c r="L33" s="308"/>
      <c r="M33" s="308"/>
      <c r="N33" s="310"/>
      <c r="O33" s="310"/>
      <c r="P33" s="276"/>
      <c r="Q33" s="276"/>
      <c r="R33" s="276"/>
      <c r="S33" s="276"/>
      <c r="T33" s="276"/>
      <c r="U33" s="277"/>
      <c r="V33" s="277"/>
      <c r="W33" s="277"/>
      <c r="X33" s="277"/>
    </row>
    <row r="34" spans="1:24" s="302" customFormat="1">
      <c r="A34" s="305"/>
      <c r="B34" s="312"/>
      <c r="C34" s="306"/>
      <c r="D34" s="307"/>
      <c r="E34" s="308"/>
      <c r="F34" s="309"/>
      <c r="G34" s="309"/>
      <c r="H34" s="309"/>
      <c r="I34" s="309"/>
      <c r="J34" s="309"/>
      <c r="K34" s="276"/>
      <c r="L34" s="308"/>
      <c r="M34" s="308"/>
      <c r="N34" s="310"/>
      <c r="O34" s="310"/>
      <c r="P34" s="276"/>
      <c r="Q34" s="276"/>
      <c r="R34" s="276"/>
      <c r="S34" s="276"/>
      <c r="T34" s="276"/>
      <c r="U34" s="277"/>
      <c r="V34" s="277"/>
      <c r="W34" s="277"/>
      <c r="X34" s="277"/>
    </row>
    <row r="35" spans="1:24" s="302" customFormat="1">
      <c r="A35" s="305"/>
      <c r="B35" s="312"/>
      <c r="C35" s="306"/>
      <c r="D35" s="307"/>
      <c r="E35" s="308"/>
      <c r="F35" s="309"/>
      <c r="G35" s="309"/>
      <c r="H35" s="309"/>
      <c r="I35" s="309"/>
      <c r="J35" s="309"/>
      <c r="K35" s="276"/>
      <c r="L35" s="308"/>
      <c r="M35" s="308"/>
      <c r="N35" s="310"/>
      <c r="O35" s="310"/>
      <c r="P35" s="276"/>
      <c r="Q35" s="276"/>
      <c r="R35" s="276"/>
      <c r="S35" s="276"/>
      <c r="T35" s="276"/>
      <c r="U35" s="277"/>
      <c r="V35" s="277"/>
      <c r="W35" s="277"/>
      <c r="X35" s="277"/>
    </row>
    <row r="36" spans="1:24" s="302" customFormat="1">
      <c r="A36" s="305"/>
      <c r="B36" s="312"/>
      <c r="C36" s="306"/>
      <c r="D36" s="307"/>
      <c r="E36" s="308"/>
      <c r="F36" s="309"/>
      <c r="G36" s="309"/>
      <c r="H36" s="309"/>
      <c r="I36" s="309"/>
      <c r="J36" s="309"/>
      <c r="K36" s="276"/>
      <c r="L36" s="308"/>
      <c r="M36" s="308"/>
      <c r="N36" s="310"/>
      <c r="O36" s="310"/>
      <c r="P36" s="276"/>
      <c r="Q36" s="276"/>
      <c r="R36" s="276"/>
      <c r="S36" s="276"/>
      <c r="T36" s="276"/>
      <c r="U36" s="277"/>
      <c r="V36" s="277"/>
      <c r="W36" s="277"/>
      <c r="X36" s="277"/>
    </row>
    <row r="37" spans="1:24" s="302" customFormat="1">
      <c r="A37" s="313"/>
      <c r="B37" s="312"/>
      <c r="C37" s="312"/>
      <c r="D37" s="307"/>
      <c r="E37" s="308"/>
      <c r="F37" s="314"/>
      <c r="G37" s="314"/>
      <c r="H37" s="314"/>
      <c r="I37" s="314"/>
      <c r="J37" s="314"/>
      <c r="K37" s="276"/>
      <c r="L37" s="309"/>
      <c r="M37" s="309"/>
      <c r="N37" s="315"/>
      <c r="O37" s="315"/>
      <c r="P37" s="316"/>
      <c r="Q37" s="316"/>
      <c r="R37" s="316"/>
      <c r="S37" s="316"/>
      <c r="T37" s="316"/>
      <c r="U37" s="277"/>
      <c r="V37" s="277"/>
      <c r="W37" s="277"/>
      <c r="X37" s="277"/>
    </row>
    <row r="38" spans="1:24" s="302" customFormat="1">
      <c r="A38" s="313"/>
      <c r="B38" s="312"/>
      <c r="C38" s="312"/>
      <c r="D38" s="307"/>
      <c r="E38" s="308"/>
      <c r="F38" s="314"/>
      <c r="G38" s="314"/>
      <c r="H38" s="314"/>
      <c r="I38" s="314"/>
      <c r="J38" s="314"/>
      <c r="K38" s="276"/>
      <c r="L38" s="309"/>
      <c r="M38" s="309"/>
      <c r="N38" s="315"/>
      <c r="O38" s="315"/>
      <c r="P38" s="316"/>
      <c r="Q38" s="316"/>
      <c r="R38" s="316"/>
      <c r="S38" s="316"/>
      <c r="T38" s="316"/>
      <c r="U38" s="277"/>
      <c r="V38" s="277"/>
      <c r="W38" s="277"/>
      <c r="X38" s="277"/>
    </row>
    <row r="39" spans="1:24" s="302" customFormat="1">
      <c r="A39" s="313"/>
      <c r="B39" s="312"/>
      <c r="C39" s="312"/>
      <c r="D39" s="317"/>
      <c r="E39" s="308"/>
      <c r="F39" s="314"/>
      <c r="G39" s="314"/>
      <c r="H39" s="314"/>
      <c r="I39" s="314"/>
      <c r="J39" s="314"/>
      <c r="K39" s="276"/>
      <c r="L39" s="308"/>
      <c r="M39" s="308"/>
      <c r="N39" s="310"/>
      <c r="O39" s="310"/>
      <c r="P39" s="276"/>
      <c r="Q39" s="276"/>
      <c r="R39" s="276"/>
      <c r="S39" s="276"/>
      <c r="T39" s="276"/>
      <c r="U39" s="277"/>
      <c r="V39" s="277"/>
      <c r="W39" s="277"/>
      <c r="X39" s="277"/>
    </row>
    <row r="40" spans="1:24" s="302" customFormat="1">
      <c r="A40" s="313"/>
      <c r="B40" s="312"/>
      <c r="C40" s="312"/>
      <c r="D40" s="317"/>
      <c r="E40" s="317"/>
      <c r="F40" s="314"/>
      <c r="G40" s="314"/>
      <c r="H40" s="309"/>
      <c r="I40" s="309"/>
      <c r="J40" s="314"/>
      <c r="K40" s="276"/>
      <c r="L40" s="308"/>
      <c r="M40" s="308"/>
      <c r="N40" s="310"/>
      <c r="O40" s="310"/>
      <c r="P40" s="276"/>
      <c r="Q40" s="276"/>
      <c r="R40" s="276"/>
      <c r="S40" s="276"/>
      <c r="T40" s="276"/>
      <c r="U40" s="277"/>
      <c r="V40" s="277"/>
      <c r="W40" s="277"/>
      <c r="X40" s="277"/>
    </row>
    <row r="41" spans="1:24" s="302" customFormat="1" ht="14.25" customHeight="1">
      <c r="A41" s="313"/>
      <c r="B41" s="312"/>
      <c r="C41" s="312"/>
      <c r="D41" s="317"/>
      <c r="E41" s="317"/>
      <c r="F41" s="314"/>
      <c r="G41" s="314"/>
      <c r="H41" s="314"/>
      <c r="I41" s="314"/>
      <c r="J41" s="314"/>
      <c r="K41" s="276"/>
      <c r="L41" s="310"/>
      <c r="M41" s="310"/>
      <c r="N41" s="310"/>
      <c r="O41" s="310"/>
      <c r="P41" s="276"/>
      <c r="Q41" s="276"/>
      <c r="R41" s="276"/>
      <c r="S41" s="276"/>
      <c r="T41" s="276"/>
      <c r="U41" s="277"/>
      <c r="V41" s="277"/>
      <c r="W41" s="277"/>
      <c r="X41" s="277"/>
    </row>
    <row r="42" spans="1:24" s="302" customFormat="1">
      <c r="A42" s="313"/>
      <c r="B42" s="312"/>
      <c r="C42" s="312"/>
      <c r="D42" s="317"/>
      <c r="E42" s="317"/>
      <c r="F42" s="314"/>
      <c r="G42" s="314"/>
      <c r="H42" s="314"/>
      <c r="I42" s="314"/>
      <c r="J42" s="314"/>
      <c r="K42" s="276"/>
      <c r="L42" s="310"/>
      <c r="M42" s="310"/>
      <c r="N42" s="310"/>
      <c r="O42" s="310"/>
      <c r="P42" s="276"/>
      <c r="Q42" s="276"/>
      <c r="R42" s="276"/>
      <c r="S42" s="276"/>
      <c r="T42" s="276"/>
      <c r="U42" s="277"/>
      <c r="V42" s="277"/>
      <c r="W42" s="277"/>
      <c r="X42" s="277"/>
    </row>
    <row r="43" spans="1:24" s="302" customFormat="1">
      <c r="A43" s="313"/>
      <c r="B43" s="312"/>
      <c r="C43" s="312"/>
      <c r="D43" s="317"/>
      <c r="E43" s="317"/>
      <c r="F43" s="314"/>
      <c r="G43" s="314"/>
      <c r="H43" s="314"/>
      <c r="I43" s="314"/>
      <c r="J43" s="314"/>
      <c r="K43" s="276"/>
      <c r="L43" s="310"/>
      <c r="M43" s="310"/>
      <c r="N43" s="310"/>
      <c r="O43" s="310"/>
      <c r="P43" s="276"/>
      <c r="Q43" s="276"/>
      <c r="R43" s="276"/>
      <c r="S43" s="276"/>
      <c r="T43" s="276"/>
      <c r="U43" s="277"/>
      <c r="V43" s="277"/>
      <c r="W43" s="277"/>
      <c r="X43" s="277"/>
    </row>
    <row r="44" spans="1:24" s="302" customFormat="1">
      <c r="A44" s="313"/>
      <c r="B44" s="312"/>
      <c r="C44" s="312"/>
      <c r="D44" s="312"/>
      <c r="E44" s="317"/>
      <c r="F44" s="312"/>
      <c r="G44" s="312"/>
      <c r="H44" s="312"/>
      <c r="I44" s="312"/>
      <c r="J44" s="312"/>
      <c r="K44" s="276"/>
      <c r="L44" s="312"/>
      <c r="M44" s="312"/>
      <c r="N44" s="312"/>
      <c r="O44" s="312"/>
      <c r="P44" s="318"/>
      <c r="Q44" s="318"/>
      <c r="R44" s="318"/>
      <c r="S44" s="318"/>
      <c r="T44" s="276"/>
      <c r="U44" s="277"/>
      <c r="V44" s="277"/>
      <c r="W44" s="277"/>
      <c r="X44" s="277"/>
    </row>
    <row r="45" spans="1:24" s="302" customFormat="1">
      <c r="A45" s="313"/>
      <c r="B45" s="312"/>
      <c r="C45" s="312"/>
      <c r="D45" s="312"/>
      <c r="E45" s="317"/>
      <c r="F45" s="312"/>
      <c r="G45" s="312"/>
      <c r="H45" s="312"/>
      <c r="I45" s="312"/>
      <c r="J45" s="312"/>
      <c r="K45" s="276"/>
      <c r="L45" s="312"/>
      <c r="M45" s="312"/>
      <c r="N45" s="312"/>
      <c r="O45" s="312"/>
      <c r="P45" s="318"/>
      <c r="Q45" s="318"/>
      <c r="R45" s="318"/>
      <c r="S45" s="318"/>
      <c r="T45" s="276"/>
      <c r="U45" s="277"/>
      <c r="V45" s="277"/>
      <c r="W45" s="277"/>
      <c r="X45" s="277"/>
    </row>
    <row r="46" spans="1:24" s="302" customFormat="1">
      <c r="A46" s="319"/>
      <c r="B46" s="320"/>
      <c r="C46" s="320"/>
      <c r="D46" s="320"/>
      <c r="E46" s="317"/>
      <c r="F46" s="320"/>
      <c r="G46" s="320"/>
      <c r="H46" s="320"/>
      <c r="I46" s="320"/>
      <c r="J46" s="320"/>
      <c r="K46" s="276"/>
      <c r="L46" s="320"/>
      <c r="M46" s="320"/>
      <c r="N46" s="320"/>
      <c r="O46" s="320"/>
      <c r="P46" s="321"/>
      <c r="Q46" s="321"/>
      <c r="R46" s="321"/>
      <c r="S46" s="321"/>
      <c r="T46" s="276"/>
      <c r="U46" s="277"/>
      <c r="V46" s="277"/>
      <c r="W46" s="277"/>
      <c r="X46" s="277"/>
    </row>
    <row r="47" spans="1:24" s="302" customFormat="1">
      <c r="A47" s="313"/>
      <c r="B47" s="312"/>
      <c r="C47" s="312"/>
      <c r="D47" s="312"/>
      <c r="E47" s="317"/>
      <c r="F47" s="312"/>
      <c r="G47" s="312"/>
      <c r="H47" s="312"/>
      <c r="I47" s="312"/>
      <c r="J47" s="312"/>
      <c r="K47" s="276"/>
      <c r="L47" s="312"/>
      <c r="M47" s="312"/>
      <c r="N47" s="312"/>
      <c r="O47" s="312"/>
      <c r="P47" s="318"/>
      <c r="Q47" s="318"/>
      <c r="R47" s="318"/>
      <c r="S47" s="318"/>
      <c r="T47" s="276"/>
      <c r="U47" s="277"/>
      <c r="V47" s="277"/>
      <c r="W47" s="277"/>
      <c r="X47" s="277"/>
    </row>
    <row r="48" spans="1:24" s="302" customFormat="1">
      <c r="A48" s="313"/>
      <c r="B48" s="312"/>
      <c r="C48" s="312"/>
      <c r="D48" s="312"/>
      <c r="E48" s="317"/>
      <c r="F48" s="312"/>
      <c r="G48" s="312"/>
      <c r="H48" s="312"/>
      <c r="I48" s="312"/>
      <c r="J48" s="312"/>
      <c r="K48" s="276"/>
      <c r="L48" s="312"/>
      <c r="M48" s="312"/>
      <c r="N48" s="312"/>
      <c r="O48" s="312"/>
      <c r="P48" s="318"/>
      <c r="Q48" s="318"/>
      <c r="R48" s="318"/>
      <c r="S48" s="318"/>
      <c r="T48" s="276"/>
      <c r="U48" s="277"/>
      <c r="V48" s="277"/>
      <c r="W48" s="277"/>
      <c r="X48" s="277"/>
    </row>
    <row r="49" spans="1:24" s="302" customFormat="1">
      <c r="A49" s="313"/>
      <c r="B49" s="312"/>
      <c r="C49" s="312"/>
      <c r="D49" s="312"/>
      <c r="E49" s="317"/>
      <c r="F49" s="312"/>
      <c r="G49" s="312"/>
      <c r="H49" s="312"/>
      <c r="I49" s="312"/>
      <c r="J49" s="312"/>
      <c r="K49" s="276"/>
      <c r="L49" s="312"/>
      <c r="M49" s="312"/>
      <c r="N49" s="312"/>
      <c r="O49" s="312"/>
      <c r="P49" s="318"/>
      <c r="Q49" s="318"/>
      <c r="R49" s="318"/>
      <c r="S49" s="318"/>
      <c r="T49" s="276"/>
      <c r="U49" s="277"/>
      <c r="V49" s="277"/>
      <c r="W49" s="277"/>
      <c r="X49" s="277"/>
    </row>
    <row r="50" spans="1:24" s="302" customFormat="1">
      <c r="A50" s="313"/>
      <c r="B50" s="312"/>
      <c r="C50" s="312"/>
      <c r="D50" s="312"/>
      <c r="E50" s="317"/>
      <c r="F50" s="312"/>
      <c r="G50" s="312"/>
      <c r="H50" s="312"/>
      <c r="I50" s="312"/>
      <c r="J50" s="312"/>
      <c r="K50" s="276"/>
      <c r="L50" s="312"/>
      <c r="M50" s="312"/>
      <c r="N50" s="312"/>
      <c r="O50" s="312"/>
      <c r="P50" s="318"/>
      <c r="Q50" s="318"/>
      <c r="R50" s="318"/>
      <c r="S50" s="318"/>
      <c r="T50" s="276"/>
      <c r="U50" s="277"/>
      <c r="V50" s="277"/>
      <c r="W50" s="277"/>
      <c r="X50" s="277"/>
    </row>
    <row r="51" spans="1:24" s="302" customFormat="1">
      <c r="A51" s="319"/>
      <c r="B51" s="320"/>
      <c r="C51" s="320"/>
      <c r="D51" s="320"/>
      <c r="E51" s="317"/>
      <c r="F51" s="320"/>
      <c r="G51" s="320"/>
      <c r="H51" s="320"/>
      <c r="I51" s="320"/>
      <c r="J51" s="320"/>
      <c r="K51" s="276"/>
      <c r="L51" s="320"/>
      <c r="M51" s="320"/>
      <c r="N51" s="320"/>
      <c r="O51" s="320"/>
      <c r="P51" s="321"/>
      <c r="Q51" s="321"/>
      <c r="R51" s="321"/>
      <c r="S51" s="321"/>
      <c r="T51" s="276"/>
      <c r="U51" s="277"/>
      <c r="V51" s="277"/>
      <c r="W51" s="277"/>
      <c r="X51" s="277"/>
    </row>
    <row r="52" spans="1:24" s="302" customFormat="1">
      <c r="A52" s="319"/>
      <c r="B52" s="320"/>
      <c r="C52" s="320"/>
      <c r="D52" s="320"/>
      <c r="E52" s="317"/>
      <c r="F52" s="320"/>
      <c r="G52" s="320"/>
      <c r="H52" s="320"/>
      <c r="I52" s="320"/>
      <c r="J52" s="320"/>
      <c r="K52" s="276"/>
      <c r="L52" s="320"/>
      <c r="M52" s="320"/>
      <c r="N52" s="320"/>
      <c r="O52" s="320"/>
      <c r="P52" s="321"/>
      <c r="Q52" s="321"/>
      <c r="R52" s="321"/>
      <c r="S52" s="321"/>
      <c r="T52" s="276"/>
      <c r="U52" s="277"/>
      <c r="V52" s="277"/>
      <c r="W52" s="277"/>
      <c r="X52" s="277"/>
    </row>
    <row r="53" spans="1:24" s="302" customFormat="1">
      <c r="A53" s="319"/>
      <c r="B53" s="320"/>
      <c r="C53" s="320"/>
      <c r="D53" s="320"/>
      <c r="E53" s="317"/>
      <c r="F53" s="320"/>
      <c r="G53" s="320"/>
      <c r="H53" s="320"/>
      <c r="I53" s="320"/>
      <c r="J53" s="320"/>
      <c r="K53" s="276"/>
      <c r="L53" s="320"/>
      <c r="M53" s="320"/>
      <c r="N53" s="320"/>
      <c r="O53" s="320"/>
      <c r="P53" s="321"/>
      <c r="Q53" s="321"/>
      <c r="R53" s="321"/>
      <c r="S53" s="321"/>
      <c r="T53" s="276"/>
      <c r="U53" s="277"/>
      <c r="V53" s="277"/>
      <c r="W53" s="277"/>
      <c r="X53" s="277"/>
    </row>
    <row r="54" spans="1:24" s="302" customFormat="1">
      <c r="A54" s="319"/>
      <c r="B54" s="320"/>
      <c r="C54" s="320"/>
      <c r="D54" s="320"/>
      <c r="E54" s="317"/>
      <c r="F54" s="320"/>
      <c r="G54" s="320"/>
      <c r="H54" s="320"/>
      <c r="I54" s="320"/>
      <c r="J54" s="320"/>
      <c r="K54" s="276"/>
      <c r="L54" s="320"/>
      <c r="M54" s="320"/>
      <c r="N54" s="320"/>
      <c r="O54" s="320"/>
      <c r="P54" s="321"/>
      <c r="Q54" s="321"/>
      <c r="R54" s="321"/>
      <c r="S54" s="321"/>
      <c r="T54" s="276"/>
      <c r="U54" s="277"/>
      <c r="V54" s="277"/>
      <c r="W54" s="277"/>
      <c r="X54" s="277"/>
    </row>
    <row r="55" spans="1:24" s="302" customFormat="1">
      <c r="A55" s="319"/>
      <c r="B55" s="320"/>
      <c r="C55" s="320"/>
      <c r="D55" s="320"/>
      <c r="E55" s="317"/>
      <c r="F55" s="320"/>
      <c r="G55" s="320"/>
      <c r="H55" s="320"/>
      <c r="I55" s="320"/>
      <c r="J55" s="320"/>
      <c r="K55" s="276"/>
      <c r="L55" s="320"/>
      <c r="M55" s="320"/>
      <c r="N55" s="320"/>
      <c r="O55" s="320"/>
      <c r="P55" s="321"/>
      <c r="Q55" s="321"/>
      <c r="R55" s="321"/>
      <c r="S55" s="321"/>
      <c r="T55" s="276"/>
      <c r="U55" s="277"/>
      <c r="V55" s="277"/>
      <c r="W55" s="277"/>
      <c r="X55" s="277"/>
    </row>
    <row r="56" spans="1:24" s="302" customFormat="1">
      <c r="A56" s="319"/>
      <c r="B56" s="320"/>
      <c r="C56" s="320"/>
      <c r="D56" s="320"/>
      <c r="E56" s="317"/>
      <c r="F56" s="320"/>
      <c r="G56" s="320"/>
      <c r="H56" s="320"/>
      <c r="I56" s="320"/>
      <c r="J56" s="320"/>
      <c r="K56" s="276"/>
      <c r="L56" s="320"/>
      <c r="M56" s="320"/>
      <c r="N56" s="320"/>
      <c r="O56" s="320"/>
      <c r="P56" s="321"/>
      <c r="Q56" s="321"/>
      <c r="R56" s="321"/>
      <c r="S56" s="321"/>
      <c r="T56" s="276"/>
      <c r="U56" s="277"/>
      <c r="V56" s="277"/>
      <c r="W56" s="277"/>
      <c r="X56" s="277"/>
    </row>
    <row r="57" spans="1:24" s="302" customFormat="1">
      <c r="A57" s="319"/>
      <c r="B57" s="320"/>
      <c r="C57" s="320"/>
      <c r="D57" s="320"/>
      <c r="E57" s="317"/>
      <c r="F57" s="320"/>
      <c r="G57" s="320"/>
      <c r="H57" s="320"/>
      <c r="I57" s="320"/>
      <c r="J57" s="320"/>
      <c r="K57" s="276"/>
      <c r="L57" s="320"/>
      <c r="M57" s="320"/>
      <c r="N57" s="320"/>
      <c r="O57" s="320"/>
      <c r="P57" s="321"/>
      <c r="Q57" s="321"/>
      <c r="R57" s="321"/>
      <c r="S57" s="321"/>
      <c r="T57" s="276"/>
      <c r="U57" s="277"/>
      <c r="V57" s="277"/>
      <c r="W57" s="277"/>
      <c r="X57" s="277"/>
    </row>
    <row r="58" spans="1:24" s="302" customFormat="1">
      <c r="A58" s="319"/>
      <c r="B58" s="320"/>
      <c r="C58" s="320"/>
      <c r="D58" s="320"/>
      <c r="E58" s="317"/>
      <c r="F58" s="320"/>
      <c r="G58" s="320"/>
      <c r="H58" s="320"/>
      <c r="I58" s="320"/>
      <c r="J58" s="320"/>
      <c r="K58" s="276"/>
      <c r="L58" s="320"/>
      <c r="M58" s="320"/>
      <c r="N58" s="320"/>
      <c r="O58" s="320"/>
      <c r="P58" s="321"/>
      <c r="Q58" s="321"/>
      <c r="R58" s="321"/>
      <c r="S58" s="321"/>
      <c r="T58" s="276"/>
      <c r="U58" s="277"/>
      <c r="V58" s="277"/>
      <c r="W58" s="277"/>
      <c r="X58" s="277"/>
    </row>
    <row r="59" spans="1:24" s="302" customFormat="1">
      <c r="C59" s="322"/>
      <c r="D59" s="322"/>
      <c r="E59" s="322"/>
      <c r="F59" s="322"/>
      <c r="G59" s="322"/>
      <c r="H59" s="322"/>
      <c r="I59" s="322"/>
      <c r="J59" s="322"/>
      <c r="K59" s="322"/>
      <c r="L59" s="322"/>
      <c r="P59" s="322"/>
      <c r="Q59" s="322"/>
      <c r="R59" s="277"/>
      <c r="S59" s="277"/>
      <c r="T59" s="277"/>
      <c r="U59" s="277"/>
      <c r="V59" s="277"/>
      <c r="W59" s="277"/>
      <c r="X59" s="277"/>
    </row>
    <row r="60" spans="1:24" s="302" customFormat="1">
      <c r="C60" s="322"/>
      <c r="D60" s="322"/>
      <c r="E60" s="322"/>
      <c r="F60" s="322"/>
      <c r="G60" s="322"/>
      <c r="H60" s="322"/>
      <c r="I60" s="322"/>
      <c r="J60" s="322"/>
      <c r="K60" s="322"/>
      <c r="L60" s="322"/>
      <c r="R60" s="277"/>
      <c r="S60" s="277"/>
      <c r="T60" s="277"/>
      <c r="U60" s="277"/>
      <c r="V60" s="277"/>
      <c r="W60" s="277"/>
      <c r="X60" s="277"/>
    </row>
    <row r="61" spans="1:24" s="302" customFormat="1">
      <c r="C61" s="322"/>
      <c r="D61" s="322"/>
      <c r="E61" s="322"/>
      <c r="F61" s="322"/>
      <c r="G61" s="322"/>
      <c r="H61" s="322"/>
      <c r="I61" s="322"/>
      <c r="J61" s="322"/>
      <c r="K61" s="322"/>
      <c r="L61" s="322"/>
      <c r="R61" s="277"/>
      <c r="S61" s="277"/>
      <c r="T61" s="277"/>
      <c r="U61" s="277"/>
      <c r="V61" s="277"/>
      <c r="W61" s="277"/>
      <c r="X61" s="277"/>
    </row>
    <row r="62" spans="1:24" s="302" customFormat="1">
      <c r="C62" s="322"/>
      <c r="D62" s="322"/>
      <c r="E62" s="322"/>
      <c r="F62" s="322"/>
      <c r="G62" s="322"/>
      <c r="H62" s="322"/>
      <c r="I62" s="322"/>
      <c r="J62" s="322"/>
      <c r="K62" s="322"/>
      <c r="L62" s="322"/>
      <c r="R62" s="277"/>
      <c r="S62" s="277"/>
      <c r="T62" s="277"/>
      <c r="U62" s="277"/>
      <c r="V62" s="277"/>
      <c r="W62" s="277"/>
      <c r="X62" s="277"/>
    </row>
    <row r="63" spans="1:24" s="302" customFormat="1">
      <c r="C63" s="322"/>
      <c r="D63" s="322"/>
      <c r="E63" s="322"/>
      <c r="F63" s="322"/>
      <c r="G63" s="322"/>
      <c r="H63" s="322"/>
      <c r="I63" s="322"/>
      <c r="J63" s="322"/>
      <c r="K63" s="322"/>
      <c r="L63" s="322"/>
      <c r="R63" s="277"/>
      <c r="S63" s="277"/>
      <c r="T63" s="277"/>
      <c r="U63" s="277"/>
      <c r="V63" s="277"/>
      <c r="W63" s="277"/>
      <c r="X63" s="277"/>
    </row>
    <row r="64" spans="1:24" s="302" customFormat="1">
      <c r="C64" s="322"/>
      <c r="D64" s="322"/>
      <c r="E64" s="322"/>
      <c r="F64" s="322"/>
      <c r="G64" s="322"/>
      <c r="H64" s="322"/>
      <c r="I64" s="322"/>
      <c r="J64" s="322"/>
      <c r="K64" s="322"/>
      <c r="L64" s="322"/>
      <c r="R64" s="277"/>
      <c r="S64" s="277"/>
      <c r="T64" s="277"/>
      <c r="U64" s="277"/>
      <c r="V64" s="277"/>
      <c r="W64" s="277"/>
      <c r="X64" s="277"/>
    </row>
    <row r="65" spans="1:24" s="302" customFormat="1">
      <c r="C65" s="322"/>
      <c r="D65" s="322"/>
      <c r="E65" s="322"/>
      <c r="F65" s="322"/>
      <c r="G65" s="322"/>
      <c r="H65" s="322"/>
      <c r="I65" s="322"/>
      <c r="J65" s="322"/>
      <c r="K65" s="322"/>
      <c r="L65" s="322"/>
      <c r="R65" s="277"/>
      <c r="S65" s="277"/>
      <c r="T65" s="277"/>
      <c r="U65" s="277"/>
      <c r="V65" s="277"/>
      <c r="W65" s="277"/>
      <c r="X65" s="277"/>
    </row>
    <row r="66" spans="1:24" s="302" customFormat="1">
      <c r="C66" s="322"/>
      <c r="D66" s="322"/>
      <c r="E66" s="322"/>
      <c r="F66" s="322"/>
      <c r="G66" s="322"/>
      <c r="H66" s="322"/>
      <c r="I66" s="322"/>
      <c r="J66" s="322"/>
      <c r="K66" s="322"/>
      <c r="L66" s="322"/>
      <c r="M66" s="322"/>
      <c r="R66" s="277"/>
      <c r="S66" s="277"/>
      <c r="T66" s="277"/>
      <c r="U66" s="277"/>
      <c r="V66" s="277"/>
      <c r="W66" s="277"/>
      <c r="X66" s="277"/>
    </row>
    <row r="67" spans="1:24" s="302" customFormat="1">
      <c r="A67" s="323" t="s">
        <v>175</v>
      </c>
      <c r="B67" s="324">
        <v>4</v>
      </c>
      <c r="C67" s="322"/>
      <c r="D67" s="322"/>
      <c r="E67" s="322"/>
      <c r="F67" s="322"/>
      <c r="G67" s="322"/>
      <c r="H67" s="322"/>
      <c r="I67" s="322"/>
      <c r="J67" s="322"/>
      <c r="K67" s="322"/>
      <c r="L67" s="322"/>
      <c r="M67" s="322"/>
      <c r="R67" s="277"/>
      <c r="S67" s="277"/>
      <c r="T67" s="277"/>
      <c r="U67" s="277"/>
      <c r="V67" s="277"/>
      <c r="W67" s="277"/>
      <c r="X67" s="277"/>
    </row>
    <row r="68" spans="1:24" s="302" customFormat="1">
      <c r="A68" s="464" t="s">
        <v>31</v>
      </c>
      <c r="B68" s="465"/>
      <c r="C68" s="465"/>
      <c r="D68" s="465"/>
      <c r="E68" s="465"/>
      <c r="F68" s="466"/>
      <c r="G68" s="322"/>
      <c r="H68" s="322"/>
      <c r="I68" s="322"/>
      <c r="J68" s="322"/>
      <c r="K68" s="322"/>
      <c r="L68" s="322"/>
      <c r="M68" s="322"/>
      <c r="R68" s="277"/>
    </row>
    <row r="69" spans="1:24" s="302" customFormat="1">
      <c r="A69" s="325" t="s">
        <v>452</v>
      </c>
      <c r="B69" s="325" t="s">
        <v>61</v>
      </c>
      <c r="C69" s="325" t="s">
        <v>62</v>
      </c>
      <c r="D69" s="325" t="s">
        <v>20</v>
      </c>
      <c r="E69" s="325" t="s">
        <v>21</v>
      </c>
      <c r="F69" s="325" t="s">
        <v>22</v>
      </c>
      <c r="G69" s="322"/>
      <c r="H69" s="322"/>
      <c r="I69" s="322"/>
      <c r="J69" s="322"/>
      <c r="K69" s="322"/>
      <c r="L69" s="322"/>
      <c r="M69" s="322"/>
      <c r="R69" s="277"/>
    </row>
    <row r="70" spans="1:24" s="302" customFormat="1">
      <c r="A70" s="305"/>
      <c r="B70" s="305"/>
      <c r="C70" s="305"/>
      <c r="D70" s="305"/>
      <c r="E70" s="305"/>
      <c r="F70" s="305"/>
      <c r="G70" s="322"/>
      <c r="H70" s="322"/>
      <c r="I70" s="322"/>
      <c r="J70" s="322"/>
      <c r="K70" s="322"/>
      <c r="L70" s="322"/>
      <c r="M70" s="322"/>
      <c r="R70" s="277"/>
    </row>
    <row r="71" spans="1:24" s="302" customFormat="1">
      <c r="A71" s="305"/>
      <c r="B71" s="305"/>
      <c r="C71" s="305"/>
      <c r="D71" s="305"/>
      <c r="E71" s="305"/>
      <c r="F71" s="305"/>
      <c r="G71" s="322"/>
      <c r="H71" s="322"/>
      <c r="I71" s="322"/>
      <c r="J71" s="322"/>
      <c r="K71" s="322"/>
      <c r="L71" s="322"/>
      <c r="M71" s="322"/>
      <c r="R71" s="277"/>
    </row>
    <row r="72" spans="1:24" s="302" customFormat="1">
      <c r="A72" s="305"/>
      <c r="B72" s="305"/>
      <c r="C72" s="305"/>
      <c r="D72" s="305"/>
      <c r="E72" s="305"/>
      <c r="F72" s="305"/>
      <c r="G72" s="322"/>
      <c r="H72" s="322"/>
      <c r="I72" s="322"/>
      <c r="J72" s="322"/>
      <c r="K72" s="322"/>
      <c r="L72" s="322"/>
      <c r="M72" s="322"/>
      <c r="R72" s="277"/>
    </row>
    <row r="73" spans="1:24" s="302" customFormat="1">
      <c r="A73" s="305"/>
      <c r="B73" s="305"/>
      <c r="C73" s="305"/>
      <c r="D73" s="305"/>
      <c r="E73" s="305"/>
      <c r="F73" s="305"/>
      <c r="G73" s="322"/>
      <c r="H73" s="322"/>
      <c r="I73" s="322"/>
      <c r="J73" s="322"/>
      <c r="K73" s="322"/>
      <c r="L73" s="322"/>
      <c r="M73" s="322"/>
      <c r="R73" s="277"/>
    </row>
    <row r="74" spans="1:24" s="302" customFormat="1">
      <c r="A74" s="305"/>
      <c r="B74" s="305"/>
      <c r="C74" s="305"/>
      <c r="D74" s="305"/>
      <c r="E74" s="305"/>
      <c r="F74" s="305"/>
      <c r="G74" s="322"/>
      <c r="H74" s="322"/>
      <c r="I74" s="322"/>
      <c r="J74" s="322"/>
      <c r="K74" s="322"/>
      <c r="L74" s="322"/>
      <c r="M74" s="322"/>
      <c r="R74" s="277"/>
    </row>
    <row r="75" spans="1:24" s="302" customFormat="1">
      <c r="A75" s="305"/>
      <c r="B75" s="305"/>
      <c r="C75" s="305"/>
      <c r="D75" s="305"/>
      <c r="E75" s="305"/>
      <c r="F75" s="305"/>
      <c r="G75" s="322"/>
      <c r="H75" s="322"/>
      <c r="I75" s="322"/>
      <c r="J75" s="322"/>
      <c r="K75" s="322"/>
      <c r="L75" s="322"/>
      <c r="M75" s="322"/>
      <c r="R75" s="277"/>
    </row>
    <row r="76" spans="1:24" s="302" customFormat="1">
      <c r="A76" s="305"/>
      <c r="B76" s="305"/>
      <c r="C76" s="305"/>
      <c r="D76" s="305"/>
      <c r="E76" s="305"/>
      <c r="F76" s="305"/>
      <c r="G76" s="322"/>
      <c r="H76" s="322"/>
      <c r="I76" s="322"/>
      <c r="J76" s="322"/>
      <c r="K76" s="322"/>
      <c r="L76" s="322"/>
      <c r="M76" s="322"/>
      <c r="R76" s="277"/>
    </row>
    <row r="77" spans="1:24" s="302" customFormat="1">
      <c r="A77" s="305"/>
      <c r="B77" s="305"/>
      <c r="C77" s="305"/>
      <c r="D77" s="305"/>
      <c r="E77" s="305"/>
      <c r="F77" s="305"/>
      <c r="G77" s="322"/>
      <c r="H77" s="322"/>
      <c r="I77" s="322"/>
      <c r="J77" s="322"/>
      <c r="K77" s="322"/>
      <c r="L77" s="322"/>
      <c r="M77" s="322"/>
      <c r="R77" s="277"/>
    </row>
    <row r="78" spans="1:24" s="302" customFormat="1">
      <c r="A78" s="305"/>
      <c r="B78" s="305"/>
      <c r="C78" s="305"/>
      <c r="D78" s="305"/>
      <c r="E78" s="305"/>
      <c r="F78" s="305"/>
      <c r="G78" s="322"/>
      <c r="H78" s="322"/>
      <c r="I78" s="322"/>
      <c r="J78" s="322"/>
      <c r="K78" s="322"/>
      <c r="L78" s="322"/>
      <c r="M78" s="322"/>
      <c r="R78" s="277"/>
    </row>
    <row r="79" spans="1:24" s="302" customFormat="1">
      <c r="A79" s="305"/>
      <c r="B79" s="305"/>
      <c r="C79" s="305"/>
      <c r="D79" s="305"/>
      <c r="E79" s="305"/>
      <c r="F79" s="305"/>
      <c r="G79" s="322"/>
      <c r="H79" s="322"/>
      <c r="I79" s="322"/>
      <c r="J79" s="322"/>
      <c r="K79" s="322"/>
      <c r="L79" s="322"/>
      <c r="M79" s="322"/>
      <c r="R79" s="277"/>
    </row>
    <row r="80" spans="1:24" s="302" customFormat="1">
      <c r="A80" s="311"/>
      <c r="B80" s="311"/>
      <c r="C80" s="311"/>
      <c r="D80" s="311"/>
      <c r="E80" s="311"/>
      <c r="F80" s="311"/>
      <c r="G80" s="322"/>
      <c r="H80" s="322"/>
      <c r="I80" s="322"/>
      <c r="J80" s="322"/>
      <c r="K80" s="322"/>
      <c r="L80" s="322"/>
      <c r="M80" s="322"/>
      <c r="R80" s="277"/>
    </row>
    <row r="81" spans="1:18" s="302" customFormat="1">
      <c r="A81" s="311"/>
      <c r="B81" s="311"/>
      <c r="C81" s="311"/>
      <c r="D81" s="311"/>
      <c r="E81" s="311"/>
      <c r="F81" s="311"/>
      <c r="G81" s="322"/>
      <c r="H81" s="322"/>
      <c r="I81" s="322"/>
      <c r="J81" s="322"/>
      <c r="K81" s="322"/>
      <c r="L81" s="322"/>
      <c r="M81" s="322"/>
      <c r="R81" s="277"/>
    </row>
    <row r="82" spans="1:18" s="302" customFormat="1">
      <c r="A82" s="311"/>
      <c r="B82" s="311"/>
      <c r="C82" s="311"/>
      <c r="D82" s="311"/>
      <c r="E82" s="311"/>
      <c r="F82" s="311"/>
      <c r="G82" s="322"/>
      <c r="H82" s="322"/>
      <c r="I82" s="322"/>
      <c r="J82" s="322"/>
      <c r="K82" s="322"/>
      <c r="L82" s="322"/>
      <c r="M82" s="322"/>
      <c r="R82" s="277"/>
    </row>
    <row r="83" spans="1:18" s="302" customFormat="1">
      <c r="A83" s="311"/>
      <c r="B83" s="311"/>
      <c r="C83" s="311"/>
      <c r="D83" s="311"/>
      <c r="E83" s="311"/>
      <c r="F83" s="311"/>
      <c r="G83" s="322"/>
      <c r="H83" s="322"/>
      <c r="I83" s="322"/>
      <c r="J83" s="322"/>
      <c r="K83" s="322"/>
      <c r="L83" s="322"/>
      <c r="M83" s="322"/>
      <c r="R83" s="277"/>
    </row>
    <row r="84" spans="1:18" s="302" customFormat="1">
      <c r="A84" s="311"/>
      <c r="B84" s="311"/>
      <c r="C84" s="311"/>
      <c r="D84" s="311"/>
      <c r="E84" s="311"/>
      <c r="F84" s="311"/>
      <c r="G84" s="322"/>
      <c r="H84" s="322"/>
      <c r="I84" s="322"/>
      <c r="J84" s="322"/>
      <c r="K84" s="322"/>
      <c r="L84" s="322"/>
      <c r="M84" s="322"/>
      <c r="R84" s="277"/>
    </row>
    <row r="85" spans="1:18" s="302" customFormat="1">
      <c r="A85" s="311"/>
      <c r="B85" s="311"/>
      <c r="C85" s="311"/>
      <c r="D85" s="311"/>
      <c r="E85" s="311"/>
      <c r="F85" s="311"/>
      <c r="G85" s="322"/>
      <c r="H85" s="322"/>
      <c r="I85" s="322"/>
      <c r="J85" s="322"/>
      <c r="K85" s="322"/>
      <c r="L85" s="322"/>
      <c r="M85" s="322"/>
      <c r="R85" s="277"/>
    </row>
    <row r="86" spans="1:18" s="302" customFormat="1">
      <c r="A86" s="311"/>
      <c r="B86" s="311"/>
      <c r="C86" s="311"/>
      <c r="D86" s="311"/>
      <c r="E86" s="311"/>
      <c r="F86" s="311"/>
      <c r="G86" s="322"/>
      <c r="H86" s="322"/>
      <c r="I86" s="322"/>
      <c r="J86" s="322"/>
      <c r="K86" s="322"/>
      <c r="L86" s="322"/>
      <c r="M86" s="322"/>
      <c r="R86" s="277"/>
    </row>
    <row r="87" spans="1:18" s="302" customFormat="1">
      <c r="A87" s="311"/>
      <c r="B87" s="311"/>
      <c r="C87" s="311"/>
      <c r="D87" s="311"/>
      <c r="E87" s="311"/>
      <c r="F87" s="311"/>
      <c r="G87" s="322"/>
      <c r="H87" s="322"/>
      <c r="I87" s="322"/>
      <c r="J87" s="322"/>
      <c r="K87" s="322"/>
      <c r="L87" s="322"/>
      <c r="M87" s="322"/>
      <c r="R87" s="277"/>
    </row>
    <row r="88" spans="1:18" s="302" customFormat="1">
      <c r="A88" s="311"/>
      <c r="B88" s="311"/>
      <c r="C88" s="311"/>
      <c r="D88" s="311"/>
      <c r="E88" s="311"/>
      <c r="F88" s="311"/>
      <c r="G88" s="322"/>
      <c r="H88" s="322"/>
      <c r="I88" s="322"/>
      <c r="J88" s="322"/>
      <c r="K88" s="322"/>
      <c r="L88" s="322"/>
      <c r="M88" s="322"/>
      <c r="R88" s="277"/>
    </row>
    <row r="89" spans="1:18" s="302" customFormat="1">
      <c r="A89" s="311"/>
      <c r="B89" s="311"/>
      <c r="C89" s="311"/>
      <c r="D89" s="311"/>
      <c r="E89" s="311"/>
      <c r="F89" s="311"/>
      <c r="G89" s="322"/>
      <c r="H89" s="322"/>
      <c r="I89" s="322"/>
      <c r="J89" s="322"/>
      <c r="K89" s="322"/>
      <c r="L89" s="322"/>
      <c r="M89" s="322"/>
      <c r="R89" s="277"/>
    </row>
    <row r="90" spans="1:18" s="302" customFormat="1">
      <c r="A90" s="313"/>
      <c r="B90" s="320"/>
      <c r="C90" s="320"/>
      <c r="D90" s="320"/>
      <c r="E90" s="320"/>
      <c r="F90" s="312"/>
      <c r="G90" s="322"/>
      <c r="H90" s="322"/>
      <c r="I90" s="322"/>
      <c r="J90" s="322"/>
      <c r="K90" s="322"/>
      <c r="L90" s="322"/>
      <c r="M90" s="322"/>
      <c r="R90" s="277"/>
    </row>
    <row r="91" spans="1:18" s="302" customFormat="1">
      <c r="A91" s="319"/>
      <c r="B91" s="320"/>
      <c r="C91" s="320"/>
      <c r="D91" s="320"/>
      <c r="E91" s="320"/>
      <c r="F91" s="320"/>
      <c r="G91" s="322"/>
      <c r="H91" s="322"/>
      <c r="I91" s="322"/>
      <c r="J91" s="322"/>
      <c r="K91" s="322"/>
      <c r="L91" s="322"/>
      <c r="M91" s="322"/>
      <c r="R91" s="277"/>
    </row>
    <row r="92" spans="1:18" s="302" customFormat="1">
      <c r="A92" s="319"/>
      <c r="B92" s="320"/>
      <c r="C92" s="320"/>
      <c r="D92" s="320"/>
      <c r="E92" s="320"/>
      <c r="F92" s="320"/>
      <c r="G92" s="322"/>
      <c r="H92" s="322"/>
      <c r="I92" s="322"/>
      <c r="J92" s="322"/>
      <c r="K92" s="322"/>
      <c r="L92" s="322"/>
      <c r="M92" s="322"/>
      <c r="R92" s="277"/>
    </row>
    <row r="93" spans="1:18" s="302" customFormat="1">
      <c r="A93" s="319"/>
      <c r="B93" s="320"/>
      <c r="C93" s="320"/>
      <c r="D93" s="320"/>
      <c r="E93" s="320"/>
      <c r="F93" s="320"/>
      <c r="G93" s="322"/>
      <c r="H93" s="322"/>
      <c r="I93" s="322"/>
      <c r="J93" s="322"/>
      <c r="K93" s="322"/>
      <c r="L93" s="322"/>
      <c r="M93" s="322"/>
      <c r="R93" s="277"/>
    </row>
    <row r="94" spans="1:18" s="302" customFormat="1">
      <c r="A94" s="319"/>
      <c r="B94" s="320"/>
      <c r="C94" s="320"/>
      <c r="D94" s="320"/>
      <c r="E94" s="320"/>
      <c r="F94" s="320"/>
      <c r="G94" s="322"/>
      <c r="H94" s="322"/>
      <c r="I94" s="322"/>
      <c r="J94" s="322"/>
      <c r="K94" s="322"/>
      <c r="L94" s="322"/>
      <c r="M94" s="322"/>
      <c r="R94" s="277"/>
    </row>
    <row r="95" spans="1:18" s="302" customFormat="1">
      <c r="A95" s="319"/>
      <c r="B95" s="320"/>
      <c r="C95" s="320"/>
      <c r="D95" s="320"/>
      <c r="E95" s="320"/>
      <c r="F95" s="320"/>
      <c r="G95" s="322"/>
      <c r="H95" s="322"/>
      <c r="I95" s="322"/>
      <c r="J95" s="322"/>
      <c r="K95" s="322"/>
      <c r="L95" s="322"/>
      <c r="M95" s="322"/>
      <c r="R95" s="277"/>
    </row>
    <row r="96" spans="1:18" s="302" customFormat="1">
      <c r="A96" s="319"/>
      <c r="B96" s="320"/>
      <c r="C96" s="320"/>
      <c r="D96" s="320"/>
      <c r="E96" s="320"/>
      <c r="F96" s="320"/>
      <c r="G96" s="322"/>
      <c r="H96" s="322"/>
      <c r="I96" s="322"/>
      <c r="J96" s="322"/>
      <c r="K96" s="322"/>
      <c r="L96" s="322"/>
      <c r="M96" s="322"/>
      <c r="R96" s="277"/>
    </row>
    <row r="97" spans="1:18" s="302" customFormat="1">
      <c r="A97" s="319"/>
      <c r="B97" s="320"/>
      <c r="C97" s="320"/>
      <c r="D97" s="320"/>
      <c r="E97" s="320"/>
      <c r="F97" s="320"/>
      <c r="G97" s="322"/>
      <c r="H97" s="322"/>
      <c r="I97" s="322"/>
      <c r="J97" s="322"/>
      <c r="K97" s="322"/>
      <c r="L97" s="322"/>
      <c r="M97" s="322"/>
      <c r="R97" s="277"/>
    </row>
    <row r="98" spans="1:18" s="302" customFormat="1">
      <c r="A98" s="319"/>
      <c r="B98" s="320"/>
      <c r="C98" s="320"/>
      <c r="D98" s="320"/>
      <c r="E98" s="320"/>
      <c r="F98" s="320"/>
      <c r="G98" s="322"/>
      <c r="H98" s="322"/>
      <c r="I98" s="322"/>
      <c r="J98" s="322"/>
      <c r="K98" s="322"/>
      <c r="L98" s="322"/>
      <c r="M98" s="322"/>
      <c r="R98" s="277"/>
    </row>
    <row r="99" spans="1:18" s="302" customFormat="1">
      <c r="A99" s="319"/>
      <c r="B99" s="320"/>
      <c r="C99" s="320"/>
      <c r="D99" s="320"/>
      <c r="E99" s="320"/>
      <c r="F99" s="320"/>
      <c r="G99" s="322"/>
      <c r="H99" s="322"/>
      <c r="I99" s="322"/>
      <c r="J99" s="322"/>
      <c r="K99" s="322"/>
      <c r="L99" s="322"/>
      <c r="M99" s="322"/>
      <c r="R99" s="277"/>
    </row>
    <row r="100" spans="1:18" s="302" customFormat="1">
      <c r="A100" s="319"/>
      <c r="B100" s="320"/>
      <c r="C100" s="320"/>
      <c r="D100" s="320"/>
      <c r="E100" s="320"/>
      <c r="F100" s="320"/>
      <c r="G100" s="322"/>
      <c r="H100" s="322"/>
      <c r="I100" s="322"/>
      <c r="J100" s="322"/>
      <c r="K100" s="322"/>
      <c r="L100" s="322"/>
      <c r="M100" s="322"/>
      <c r="R100" s="277"/>
    </row>
    <row r="101" spans="1:18" s="302" customFormat="1">
      <c r="A101" s="319"/>
      <c r="B101" s="320"/>
      <c r="C101" s="320"/>
      <c r="D101" s="320"/>
      <c r="E101" s="320"/>
      <c r="F101" s="320"/>
      <c r="G101" s="322"/>
      <c r="H101" s="322"/>
      <c r="I101" s="322"/>
      <c r="J101" s="322"/>
      <c r="K101" s="322"/>
      <c r="L101" s="322"/>
      <c r="M101" s="322"/>
      <c r="R101" s="277"/>
    </row>
    <row r="102" spans="1:18" s="302" customFormat="1">
      <c r="A102" s="319"/>
      <c r="B102" s="320"/>
      <c r="C102" s="320"/>
      <c r="D102" s="320"/>
      <c r="E102" s="320"/>
      <c r="F102" s="320"/>
      <c r="G102" s="322"/>
      <c r="H102" s="322"/>
      <c r="I102" s="322"/>
      <c r="J102" s="322"/>
      <c r="K102" s="322"/>
      <c r="L102" s="322"/>
      <c r="M102" s="322"/>
      <c r="R102" s="277"/>
    </row>
    <row r="103" spans="1:18" s="302" customFormat="1">
      <c r="A103" s="319"/>
      <c r="B103" s="320"/>
      <c r="C103" s="320"/>
      <c r="D103" s="320"/>
      <c r="E103" s="320"/>
      <c r="F103" s="320"/>
      <c r="G103" s="322"/>
      <c r="H103" s="322"/>
      <c r="I103" s="322"/>
      <c r="J103" s="322"/>
      <c r="K103" s="322"/>
      <c r="L103" s="322"/>
      <c r="M103" s="322"/>
      <c r="R103" s="277"/>
    </row>
    <row r="104" spans="1:18" s="302" customFormat="1">
      <c r="A104" s="319"/>
      <c r="B104" s="320"/>
      <c r="C104" s="320"/>
      <c r="D104" s="320"/>
      <c r="E104" s="320"/>
      <c r="F104" s="320"/>
      <c r="G104" s="322"/>
      <c r="H104" s="322"/>
      <c r="I104" s="322"/>
      <c r="J104" s="322"/>
      <c r="K104" s="322"/>
      <c r="L104" s="322"/>
      <c r="M104" s="322"/>
      <c r="R104" s="277"/>
    </row>
    <row r="105" spans="1:18" s="302" customFormat="1">
      <c r="A105" s="319"/>
      <c r="B105" s="320"/>
      <c r="C105" s="320"/>
      <c r="D105" s="320"/>
      <c r="E105" s="320"/>
      <c r="F105" s="320"/>
      <c r="G105" s="322"/>
      <c r="H105" s="322"/>
      <c r="I105" s="322"/>
      <c r="J105" s="322"/>
      <c r="K105" s="322"/>
      <c r="L105" s="322"/>
      <c r="M105" s="322"/>
      <c r="R105" s="277"/>
    </row>
    <row r="106" spans="1:18" s="302" customFormat="1">
      <c r="A106" s="319"/>
      <c r="B106" s="320"/>
      <c r="C106" s="320"/>
      <c r="D106" s="320"/>
      <c r="E106" s="320"/>
      <c r="F106" s="320"/>
      <c r="G106" s="322"/>
      <c r="H106" s="322"/>
      <c r="I106" s="322"/>
      <c r="J106" s="322"/>
      <c r="K106" s="322"/>
      <c r="L106" s="322"/>
      <c r="M106" s="322"/>
      <c r="R106" s="277"/>
    </row>
    <row r="107" spans="1:18" s="302" customFormat="1">
      <c r="A107" s="319"/>
      <c r="B107" s="320"/>
      <c r="C107" s="320"/>
      <c r="D107" s="320"/>
      <c r="E107" s="320"/>
      <c r="F107" s="320"/>
      <c r="G107" s="322"/>
      <c r="H107" s="322"/>
      <c r="I107" s="322"/>
      <c r="J107" s="322"/>
      <c r="K107" s="322"/>
      <c r="L107" s="322"/>
      <c r="M107" s="322"/>
      <c r="R107" s="277"/>
    </row>
    <row r="108" spans="1:18" s="302" customFormat="1">
      <c r="A108" s="319"/>
      <c r="B108" s="320"/>
      <c r="C108" s="320"/>
      <c r="D108" s="320"/>
      <c r="E108" s="320"/>
      <c r="F108" s="320"/>
      <c r="G108" s="322"/>
      <c r="H108" s="322"/>
      <c r="I108" s="322"/>
      <c r="J108" s="322"/>
      <c r="K108" s="322"/>
      <c r="L108" s="322"/>
      <c r="M108" s="322"/>
      <c r="R108" s="277"/>
    </row>
    <row r="109" spans="1:18" s="302" customFormat="1">
      <c r="A109" s="319"/>
      <c r="B109" s="320"/>
      <c r="C109" s="320"/>
      <c r="D109" s="320"/>
      <c r="E109" s="320"/>
      <c r="F109" s="320"/>
      <c r="G109" s="322"/>
      <c r="H109" s="322"/>
      <c r="I109" s="322"/>
      <c r="J109" s="322"/>
      <c r="K109" s="322"/>
      <c r="L109" s="322"/>
      <c r="M109" s="322"/>
      <c r="R109" s="277"/>
    </row>
    <row r="110" spans="1:18" s="302" customFormat="1">
      <c r="A110" s="322"/>
      <c r="B110" s="322"/>
      <c r="C110" s="322"/>
      <c r="D110" s="322"/>
      <c r="E110" s="322"/>
      <c r="F110" s="322"/>
      <c r="G110" s="322"/>
      <c r="H110" s="322"/>
      <c r="I110" s="322"/>
      <c r="J110" s="322"/>
      <c r="K110" s="322"/>
      <c r="L110" s="322"/>
      <c r="M110" s="322"/>
      <c r="R110" s="277"/>
    </row>
    <row r="111" spans="1:18" s="302" customFormat="1">
      <c r="C111" s="322"/>
      <c r="D111" s="322"/>
      <c r="E111" s="322"/>
      <c r="F111" s="322"/>
      <c r="G111" s="322"/>
      <c r="H111" s="322"/>
      <c r="I111" s="322"/>
      <c r="J111" s="322"/>
      <c r="K111" s="322"/>
      <c r="L111" s="322"/>
      <c r="M111" s="322"/>
      <c r="R111" s="277"/>
    </row>
    <row r="112" spans="1:18" s="302" customFormat="1">
      <c r="C112" s="322"/>
      <c r="D112" s="322"/>
      <c r="E112" s="322"/>
      <c r="F112" s="322"/>
      <c r="G112" s="322"/>
      <c r="H112" s="322"/>
      <c r="I112" s="322"/>
      <c r="J112" s="322"/>
      <c r="K112" s="322"/>
      <c r="L112" s="322"/>
      <c r="M112" s="322"/>
      <c r="R112" s="277"/>
    </row>
    <row r="113" spans="1:18" s="302" customFormat="1">
      <c r="C113" s="322"/>
      <c r="D113" s="322"/>
      <c r="E113" s="322"/>
      <c r="F113" s="322"/>
      <c r="G113" s="322"/>
      <c r="H113" s="322"/>
      <c r="I113" s="322"/>
      <c r="J113" s="322"/>
      <c r="K113" s="322"/>
      <c r="L113" s="322"/>
      <c r="M113" s="322"/>
      <c r="R113" s="277"/>
    </row>
    <row r="114" spans="1:18" s="302" customFormat="1">
      <c r="C114" s="322"/>
      <c r="D114" s="322"/>
      <c r="E114" s="322"/>
      <c r="F114" s="322"/>
      <c r="G114" s="322"/>
      <c r="H114" s="322"/>
      <c r="I114" s="322"/>
      <c r="J114" s="322"/>
      <c r="K114" s="322"/>
      <c r="L114" s="322"/>
      <c r="M114" s="322"/>
      <c r="R114" s="277"/>
    </row>
    <row r="115" spans="1:18" s="302" customFormat="1">
      <c r="D115" s="322"/>
      <c r="E115" s="322"/>
      <c r="F115" s="322"/>
      <c r="G115" s="322"/>
      <c r="H115" s="322"/>
      <c r="I115" s="322"/>
      <c r="J115" s="322"/>
      <c r="K115" s="322"/>
      <c r="L115" s="322"/>
      <c r="M115" s="322"/>
      <c r="R115" s="277"/>
    </row>
    <row r="116" spans="1:18" s="302" customFormat="1">
      <c r="A116" s="323" t="s">
        <v>175</v>
      </c>
      <c r="B116" s="324">
        <v>5</v>
      </c>
      <c r="D116" s="322"/>
      <c r="E116" s="322"/>
      <c r="F116" s="322"/>
      <c r="G116" s="322"/>
      <c r="H116" s="322"/>
      <c r="I116" s="322"/>
      <c r="J116" s="322"/>
      <c r="K116" s="322"/>
      <c r="L116" s="322"/>
      <c r="M116" s="322"/>
      <c r="R116" s="277"/>
    </row>
    <row r="117" spans="1:18" s="302" customFormat="1" ht="12.75" customHeight="1">
      <c r="A117" s="456" t="s">
        <v>134</v>
      </c>
      <c r="B117" s="457"/>
      <c r="C117" s="457"/>
      <c r="D117" s="457"/>
      <c r="E117" s="457"/>
      <c r="F117" s="457"/>
      <c r="G117" s="457"/>
      <c r="H117" s="458"/>
      <c r="I117" s="322"/>
      <c r="J117" s="322"/>
      <c r="K117" s="322"/>
      <c r="P117" s="277"/>
    </row>
    <row r="118" spans="1:18" s="302" customFormat="1" ht="68.25" customHeight="1">
      <c r="A118" s="326" t="s">
        <v>138</v>
      </c>
      <c r="B118" s="327" t="s">
        <v>138</v>
      </c>
      <c r="C118" s="326" t="s">
        <v>187</v>
      </c>
      <c r="D118" s="326" t="s">
        <v>40</v>
      </c>
      <c r="E118" s="326" t="s">
        <v>188</v>
      </c>
      <c r="F118" s="326" t="s">
        <v>136</v>
      </c>
      <c r="G118" s="326" t="s">
        <v>135</v>
      </c>
      <c r="H118" s="326" t="s">
        <v>456</v>
      </c>
      <c r="I118" s="328"/>
      <c r="J118" s="322"/>
      <c r="K118" s="329"/>
      <c r="L118" s="329"/>
      <c r="M118" s="330"/>
      <c r="O118" s="277"/>
    </row>
    <row r="119" spans="1:18" s="302" customFormat="1">
      <c r="A119" s="331"/>
      <c r="B119" s="336"/>
      <c r="C119" s="332"/>
      <c r="D119" s="333"/>
      <c r="E119" s="332"/>
      <c r="F119" s="334"/>
      <c r="G119" s="332" t="str">
        <f t="shared" ref="G119:G140" si="0">IF(A119=0,"",E119*(1-F119))</f>
        <v/>
      </c>
      <c r="H119" s="332" t="str">
        <f>IF(A119=0,"",MIN(E119,G119))</f>
        <v/>
      </c>
      <c r="I119" s="322"/>
      <c r="J119" s="322"/>
      <c r="K119" s="330"/>
      <c r="L119" s="330"/>
      <c r="M119" s="330"/>
      <c r="O119" s="277"/>
    </row>
    <row r="120" spans="1:18" s="302" customFormat="1">
      <c r="A120" s="331"/>
      <c r="B120" s="336"/>
      <c r="C120" s="332"/>
      <c r="D120" s="333"/>
      <c r="E120" s="332"/>
      <c r="F120" s="334"/>
      <c r="G120" s="332" t="str">
        <f t="shared" si="0"/>
        <v/>
      </c>
      <c r="H120" s="332" t="str">
        <f t="shared" ref="H120:H140" si="1">IF(A120=0,"",MIN(E120,G120))</f>
        <v/>
      </c>
      <c r="I120" s="322"/>
      <c r="J120" s="322"/>
      <c r="K120" s="330"/>
      <c r="L120" s="330"/>
      <c r="M120" s="330"/>
      <c r="O120" s="277"/>
    </row>
    <row r="121" spans="1:18" s="302" customFormat="1">
      <c r="A121" s="331"/>
      <c r="B121" s="336"/>
      <c r="C121" s="332"/>
      <c r="D121" s="333"/>
      <c r="E121" s="332"/>
      <c r="F121" s="334"/>
      <c r="G121" s="332" t="str">
        <f t="shared" si="0"/>
        <v/>
      </c>
      <c r="H121" s="332" t="str">
        <f t="shared" si="1"/>
        <v/>
      </c>
      <c r="I121" s="322"/>
      <c r="J121" s="322"/>
      <c r="K121" s="330"/>
      <c r="L121" s="330"/>
      <c r="M121" s="330"/>
      <c r="O121" s="277"/>
    </row>
    <row r="122" spans="1:18" s="302" customFormat="1">
      <c r="A122" s="331"/>
      <c r="B122" s="336"/>
      <c r="C122" s="332"/>
      <c r="D122" s="333"/>
      <c r="E122" s="332"/>
      <c r="F122" s="334"/>
      <c r="G122" s="332" t="str">
        <f t="shared" si="0"/>
        <v/>
      </c>
      <c r="H122" s="332" t="str">
        <f t="shared" si="1"/>
        <v/>
      </c>
      <c r="I122" s="322"/>
      <c r="J122" s="322"/>
      <c r="K122" s="330"/>
      <c r="L122" s="330"/>
      <c r="M122" s="330"/>
      <c r="O122" s="277"/>
    </row>
    <row r="123" spans="1:18" s="302" customFormat="1">
      <c r="A123" s="331"/>
      <c r="B123" s="336"/>
      <c r="C123" s="332"/>
      <c r="D123" s="333"/>
      <c r="E123" s="332"/>
      <c r="F123" s="334"/>
      <c r="G123" s="332" t="str">
        <f t="shared" si="0"/>
        <v/>
      </c>
      <c r="H123" s="332" t="str">
        <f t="shared" si="1"/>
        <v/>
      </c>
      <c r="I123" s="322"/>
      <c r="J123" s="322"/>
      <c r="K123" s="330"/>
      <c r="L123" s="330"/>
      <c r="M123" s="330"/>
      <c r="O123" s="277"/>
    </row>
    <row r="124" spans="1:18" s="302" customFormat="1">
      <c r="A124" s="331"/>
      <c r="B124" s="336"/>
      <c r="C124" s="332"/>
      <c r="D124" s="333"/>
      <c r="E124" s="332"/>
      <c r="F124" s="334"/>
      <c r="G124" s="332" t="str">
        <f t="shared" si="0"/>
        <v/>
      </c>
      <c r="H124" s="332" t="str">
        <f t="shared" si="1"/>
        <v/>
      </c>
      <c r="I124" s="322"/>
      <c r="J124" s="322"/>
      <c r="K124" s="330"/>
      <c r="L124" s="330"/>
      <c r="M124" s="330"/>
      <c r="O124" s="277"/>
    </row>
    <row r="125" spans="1:18" s="302" customFormat="1">
      <c r="A125" s="331"/>
      <c r="B125" s="336"/>
      <c r="C125" s="332"/>
      <c r="D125" s="333"/>
      <c r="E125" s="332"/>
      <c r="F125" s="334"/>
      <c r="G125" s="332" t="str">
        <f t="shared" si="0"/>
        <v/>
      </c>
      <c r="H125" s="332" t="str">
        <f t="shared" si="1"/>
        <v/>
      </c>
      <c r="I125" s="322"/>
      <c r="J125" s="322"/>
      <c r="K125" s="330"/>
      <c r="L125" s="330"/>
      <c r="M125" s="330"/>
      <c r="O125" s="277"/>
    </row>
    <row r="126" spans="1:18" s="302" customFormat="1">
      <c r="A126" s="331"/>
      <c r="B126" s="336"/>
      <c r="C126" s="332"/>
      <c r="D126" s="333"/>
      <c r="E126" s="332"/>
      <c r="F126" s="334"/>
      <c r="G126" s="332" t="str">
        <f t="shared" si="0"/>
        <v/>
      </c>
      <c r="H126" s="332" t="str">
        <f t="shared" si="1"/>
        <v/>
      </c>
      <c r="I126" s="322"/>
      <c r="J126" s="322"/>
      <c r="K126" s="330"/>
      <c r="L126" s="330"/>
      <c r="M126" s="330"/>
      <c r="O126" s="277"/>
    </row>
    <row r="127" spans="1:18" s="302" customFormat="1">
      <c r="A127" s="331"/>
      <c r="B127" s="336"/>
      <c r="C127" s="335"/>
      <c r="D127" s="333"/>
      <c r="E127" s="332"/>
      <c r="F127" s="334"/>
      <c r="G127" s="332" t="str">
        <f t="shared" si="0"/>
        <v/>
      </c>
      <c r="H127" s="332" t="str">
        <f t="shared" si="1"/>
        <v/>
      </c>
      <c r="I127" s="322"/>
      <c r="J127" s="322"/>
      <c r="K127" s="330"/>
      <c r="L127" s="330"/>
      <c r="M127" s="330"/>
      <c r="O127" s="277"/>
    </row>
    <row r="128" spans="1:18" s="302" customFormat="1">
      <c r="A128" s="331"/>
      <c r="B128" s="336"/>
      <c r="C128" s="335"/>
      <c r="D128" s="333"/>
      <c r="E128" s="332"/>
      <c r="F128" s="334"/>
      <c r="G128" s="332" t="str">
        <f t="shared" si="0"/>
        <v/>
      </c>
      <c r="H128" s="332" t="str">
        <f t="shared" si="1"/>
        <v/>
      </c>
      <c r="I128" s="322"/>
      <c r="J128" s="322"/>
      <c r="K128" s="330"/>
      <c r="L128" s="330"/>
      <c r="M128" s="330"/>
      <c r="O128" s="277"/>
    </row>
    <row r="129" spans="1:15" s="302" customFormat="1">
      <c r="A129" s="331"/>
      <c r="B129" s="336"/>
      <c r="C129" s="335"/>
      <c r="D129" s="333"/>
      <c r="E129" s="332"/>
      <c r="F129" s="334"/>
      <c r="G129" s="332" t="str">
        <f t="shared" si="0"/>
        <v/>
      </c>
      <c r="H129" s="332" t="str">
        <f t="shared" si="1"/>
        <v/>
      </c>
      <c r="I129" s="322"/>
      <c r="J129" s="322"/>
      <c r="K129" s="330"/>
      <c r="L129" s="330"/>
      <c r="M129" s="330"/>
      <c r="O129" s="277"/>
    </row>
    <row r="130" spans="1:15" s="302" customFormat="1">
      <c r="A130" s="331"/>
      <c r="B130" s="336"/>
      <c r="C130" s="335"/>
      <c r="D130" s="333"/>
      <c r="E130" s="332"/>
      <c r="F130" s="334"/>
      <c r="G130" s="332" t="str">
        <f t="shared" si="0"/>
        <v/>
      </c>
      <c r="H130" s="332" t="str">
        <f t="shared" si="1"/>
        <v/>
      </c>
      <c r="I130" s="322"/>
      <c r="J130" s="322"/>
      <c r="K130" s="330"/>
      <c r="L130" s="330"/>
      <c r="M130" s="330"/>
      <c r="O130" s="277"/>
    </row>
    <row r="131" spans="1:15" s="302" customFormat="1">
      <c r="A131" s="331"/>
      <c r="B131" s="336"/>
      <c r="C131" s="335"/>
      <c r="D131" s="333"/>
      <c r="E131" s="332"/>
      <c r="F131" s="334"/>
      <c r="G131" s="332" t="str">
        <f t="shared" si="0"/>
        <v/>
      </c>
      <c r="H131" s="332" t="str">
        <f t="shared" si="1"/>
        <v/>
      </c>
      <c r="I131" s="322"/>
      <c r="J131" s="322"/>
      <c r="K131" s="330"/>
      <c r="L131" s="330"/>
      <c r="M131" s="330"/>
      <c r="O131" s="277"/>
    </row>
    <row r="132" spans="1:15" s="302" customFormat="1">
      <c r="A132" s="331"/>
      <c r="B132" s="336"/>
      <c r="C132" s="335"/>
      <c r="D132" s="333"/>
      <c r="E132" s="332"/>
      <c r="F132" s="334"/>
      <c r="G132" s="332" t="str">
        <f t="shared" si="0"/>
        <v/>
      </c>
      <c r="H132" s="332" t="str">
        <f t="shared" si="1"/>
        <v/>
      </c>
      <c r="I132" s="322"/>
      <c r="J132" s="322"/>
      <c r="K132" s="330"/>
      <c r="L132" s="330"/>
      <c r="M132" s="330"/>
      <c r="O132" s="277"/>
    </row>
    <row r="133" spans="1:15" s="302" customFormat="1">
      <c r="A133" s="331"/>
      <c r="B133" s="336"/>
      <c r="C133" s="335"/>
      <c r="D133" s="333"/>
      <c r="E133" s="332"/>
      <c r="F133" s="334"/>
      <c r="G133" s="332" t="str">
        <f t="shared" si="0"/>
        <v/>
      </c>
      <c r="H133" s="332" t="str">
        <f t="shared" si="1"/>
        <v/>
      </c>
      <c r="I133" s="322"/>
      <c r="J133" s="322"/>
      <c r="K133" s="330"/>
      <c r="L133" s="330"/>
      <c r="M133" s="330"/>
      <c r="O133" s="277"/>
    </row>
    <row r="134" spans="1:15" s="302" customFormat="1">
      <c r="A134" s="331"/>
      <c r="B134" s="336"/>
      <c r="C134" s="335"/>
      <c r="D134" s="333"/>
      <c r="E134" s="332"/>
      <c r="F134" s="334"/>
      <c r="G134" s="332" t="str">
        <f t="shared" si="0"/>
        <v/>
      </c>
      <c r="H134" s="332" t="str">
        <f t="shared" si="1"/>
        <v/>
      </c>
      <c r="I134" s="322"/>
      <c r="J134" s="322"/>
      <c r="K134" s="330"/>
      <c r="L134" s="330"/>
      <c r="M134" s="330"/>
      <c r="O134" s="277"/>
    </row>
    <row r="135" spans="1:15" s="302" customFormat="1">
      <c r="A135" s="331"/>
      <c r="B135" s="336"/>
      <c r="C135" s="335"/>
      <c r="D135" s="333"/>
      <c r="E135" s="332"/>
      <c r="F135" s="334"/>
      <c r="G135" s="332" t="str">
        <f t="shared" si="0"/>
        <v/>
      </c>
      <c r="H135" s="332" t="str">
        <f t="shared" si="1"/>
        <v/>
      </c>
      <c r="I135" s="322"/>
      <c r="J135" s="322"/>
      <c r="K135" s="330"/>
      <c r="L135" s="330"/>
      <c r="M135" s="330"/>
      <c r="O135" s="277"/>
    </row>
    <row r="136" spans="1:15" s="302" customFormat="1">
      <c r="A136" s="331"/>
      <c r="B136" s="336"/>
      <c r="C136" s="335"/>
      <c r="D136" s="333"/>
      <c r="E136" s="332"/>
      <c r="F136" s="334"/>
      <c r="G136" s="332" t="str">
        <f t="shared" si="0"/>
        <v/>
      </c>
      <c r="H136" s="332" t="str">
        <f t="shared" si="1"/>
        <v/>
      </c>
      <c r="I136" s="322"/>
      <c r="J136" s="322"/>
      <c r="K136" s="330"/>
      <c r="L136" s="330"/>
      <c r="M136" s="330"/>
      <c r="O136" s="277"/>
    </row>
    <row r="137" spans="1:15" s="302" customFormat="1">
      <c r="A137" s="331"/>
      <c r="B137" s="336"/>
      <c r="C137" s="335"/>
      <c r="D137" s="333"/>
      <c r="E137" s="332"/>
      <c r="F137" s="334"/>
      <c r="G137" s="332" t="str">
        <f t="shared" si="0"/>
        <v/>
      </c>
      <c r="H137" s="332" t="str">
        <f t="shared" si="1"/>
        <v/>
      </c>
      <c r="I137" s="322"/>
      <c r="J137" s="322"/>
      <c r="K137" s="330"/>
      <c r="L137" s="330"/>
      <c r="M137" s="330"/>
      <c r="O137" s="277"/>
    </row>
    <row r="138" spans="1:15" s="302" customFormat="1">
      <c r="A138" s="331"/>
      <c r="B138" s="337"/>
      <c r="C138" s="309"/>
      <c r="D138" s="338"/>
      <c r="E138" s="339"/>
      <c r="F138" s="340"/>
      <c r="G138" s="332" t="str">
        <f t="shared" si="0"/>
        <v/>
      </c>
      <c r="H138" s="332" t="str">
        <f t="shared" si="1"/>
        <v/>
      </c>
      <c r="I138" s="322"/>
      <c r="J138" s="322"/>
      <c r="K138" s="330"/>
      <c r="L138" s="330"/>
      <c r="M138" s="330"/>
      <c r="O138" s="277"/>
    </row>
    <row r="139" spans="1:15" s="302" customFormat="1">
      <c r="A139" s="331"/>
      <c r="B139" s="337"/>
      <c r="C139" s="309"/>
      <c r="D139" s="338"/>
      <c r="E139" s="339"/>
      <c r="F139" s="340"/>
      <c r="G139" s="332" t="str">
        <f t="shared" si="0"/>
        <v/>
      </c>
      <c r="H139" s="332" t="str">
        <f t="shared" si="1"/>
        <v/>
      </c>
      <c r="I139" s="322"/>
      <c r="J139" s="322"/>
      <c r="K139" s="330"/>
      <c r="L139" s="330"/>
      <c r="M139" s="330"/>
      <c r="O139" s="277"/>
    </row>
    <row r="140" spans="1:15" s="302" customFormat="1">
      <c r="A140" s="331"/>
      <c r="B140" s="337"/>
      <c r="C140" s="309"/>
      <c r="D140" s="338"/>
      <c r="E140" s="339"/>
      <c r="F140" s="340"/>
      <c r="G140" s="332" t="str">
        <f t="shared" si="0"/>
        <v/>
      </c>
      <c r="H140" s="332" t="str">
        <f t="shared" si="1"/>
        <v/>
      </c>
      <c r="I140" s="322"/>
      <c r="J140" s="322"/>
      <c r="K140" s="330"/>
      <c r="L140" s="330"/>
      <c r="M140" s="330"/>
      <c r="O140" s="277"/>
    </row>
    <row r="141" spans="1:15" s="302" customFormat="1">
      <c r="A141" s="331"/>
      <c r="B141" s="336"/>
      <c r="C141" s="335"/>
      <c r="D141" s="333"/>
      <c r="E141" s="332"/>
      <c r="F141" s="334"/>
      <c r="G141" s="332"/>
      <c r="H141" s="332"/>
      <c r="I141" s="322"/>
      <c r="J141" s="322"/>
      <c r="K141" s="341"/>
      <c r="L141" s="341"/>
      <c r="M141" s="341"/>
      <c r="O141" s="277"/>
    </row>
    <row r="142" spans="1:15" s="302" customFormat="1">
      <c r="A142" s="331"/>
      <c r="B142" s="342"/>
      <c r="C142" s="343"/>
      <c r="D142" s="344"/>
      <c r="E142" s="345"/>
      <c r="F142" s="346"/>
      <c r="G142" s="332"/>
      <c r="H142" s="332"/>
      <c r="I142" s="322"/>
      <c r="J142" s="322"/>
      <c r="K142" s="341"/>
      <c r="L142" s="341"/>
      <c r="M142" s="341"/>
      <c r="O142" s="277"/>
    </row>
    <row r="143" spans="1:15" s="302" customFormat="1">
      <c r="A143" s="331"/>
      <c r="B143" s="336"/>
      <c r="C143" s="335"/>
      <c r="D143" s="333"/>
      <c r="E143" s="332"/>
      <c r="F143" s="334"/>
      <c r="G143" s="332"/>
      <c r="H143" s="332"/>
      <c r="I143" s="322"/>
      <c r="J143" s="322"/>
      <c r="K143" s="341"/>
      <c r="L143" s="341"/>
      <c r="M143" s="341"/>
      <c r="O143" s="277"/>
    </row>
    <row r="144" spans="1:15" s="302" customFormat="1">
      <c r="A144" s="331"/>
      <c r="B144" s="342"/>
      <c r="C144" s="343"/>
      <c r="D144" s="344"/>
      <c r="E144" s="345"/>
      <c r="F144" s="346"/>
      <c r="G144" s="332"/>
      <c r="H144" s="332"/>
      <c r="I144" s="322"/>
      <c r="J144" s="322"/>
      <c r="O144" s="277"/>
    </row>
    <row r="145" spans="1:15" s="302" customFormat="1">
      <c r="A145" s="331"/>
      <c r="B145" s="336"/>
      <c r="C145" s="335"/>
      <c r="D145" s="333"/>
      <c r="E145" s="332"/>
      <c r="F145" s="334"/>
      <c r="G145" s="332"/>
      <c r="H145" s="332"/>
      <c r="I145" s="322"/>
      <c r="J145" s="322"/>
      <c r="O145" s="277"/>
    </row>
    <row r="146" spans="1:15" s="302" customFormat="1">
      <c r="A146" s="331"/>
      <c r="B146" s="342"/>
      <c r="C146" s="343"/>
      <c r="D146" s="333"/>
      <c r="E146" s="332"/>
      <c r="F146" s="346"/>
      <c r="G146" s="332"/>
      <c r="H146" s="332"/>
      <c r="I146" s="322"/>
      <c r="J146" s="322"/>
      <c r="O146" s="277"/>
    </row>
    <row r="147" spans="1:15" s="302" customFormat="1">
      <c r="A147" s="331"/>
      <c r="B147" s="342"/>
      <c r="C147" s="343"/>
      <c r="D147" s="344"/>
      <c r="E147" s="345"/>
      <c r="F147" s="346"/>
      <c r="G147" s="332"/>
      <c r="H147" s="332"/>
      <c r="I147" s="322"/>
      <c r="J147" s="322"/>
      <c r="O147" s="277"/>
    </row>
    <row r="148" spans="1:15" s="302" customFormat="1">
      <c r="A148" s="331"/>
      <c r="B148" s="336"/>
      <c r="C148" s="335"/>
      <c r="D148" s="333"/>
      <c r="E148" s="332"/>
      <c r="F148" s="334"/>
      <c r="G148" s="332"/>
      <c r="H148" s="332"/>
      <c r="I148" s="322"/>
      <c r="J148" s="322"/>
      <c r="O148" s="277"/>
    </row>
    <row r="149" spans="1:15" s="302" customFormat="1">
      <c r="A149" s="331"/>
      <c r="B149" s="336"/>
      <c r="C149" s="335"/>
      <c r="D149" s="333"/>
      <c r="E149" s="332"/>
      <c r="F149" s="334"/>
      <c r="G149" s="332"/>
      <c r="H149" s="332"/>
      <c r="I149" s="322"/>
      <c r="J149" s="322"/>
      <c r="O149" s="277"/>
    </row>
    <row r="150" spans="1:15" s="302" customFormat="1">
      <c r="A150" s="331"/>
      <c r="B150" s="336"/>
      <c r="C150" s="335"/>
      <c r="D150" s="333"/>
      <c r="E150" s="332"/>
      <c r="F150" s="334"/>
      <c r="G150" s="332"/>
      <c r="H150" s="332"/>
      <c r="I150" s="322"/>
      <c r="J150" s="322"/>
      <c r="O150" s="277"/>
    </row>
    <row r="151" spans="1:15" s="302" customFormat="1">
      <c r="A151" s="331"/>
      <c r="B151" s="336"/>
      <c r="C151" s="335"/>
      <c r="D151" s="333"/>
      <c r="E151" s="332"/>
      <c r="F151" s="334"/>
      <c r="G151" s="332"/>
      <c r="H151" s="332"/>
      <c r="I151" s="322"/>
      <c r="J151" s="322"/>
      <c r="O151" s="277"/>
    </row>
    <row r="152" spans="1:15" s="302" customFormat="1">
      <c r="A152" s="331"/>
      <c r="B152" s="347"/>
      <c r="C152" s="335"/>
      <c r="D152" s="333"/>
      <c r="E152" s="332"/>
      <c r="F152" s="334"/>
      <c r="G152" s="332"/>
      <c r="H152" s="332"/>
      <c r="I152" s="322"/>
      <c r="J152" s="322"/>
      <c r="O152" s="277"/>
    </row>
    <row r="153" spans="1:15" s="302" customFormat="1">
      <c r="A153" s="331"/>
      <c r="B153" s="347"/>
      <c r="C153" s="335"/>
      <c r="D153" s="333"/>
      <c r="E153" s="332"/>
      <c r="F153" s="334"/>
      <c r="G153" s="332"/>
      <c r="H153" s="332"/>
      <c r="I153" s="322"/>
      <c r="J153" s="322"/>
      <c r="O153" s="277"/>
    </row>
    <row r="154" spans="1:15" s="302" customFormat="1">
      <c r="A154" s="331"/>
      <c r="B154" s="347"/>
      <c r="C154" s="335"/>
      <c r="D154" s="333"/>
      <c r="E154" s="332"/>
      <c r="F154" s="334"/>
      <c r="G154" s="332"/>
      <c r="H154" s="332"/>
      <c r="I154" s="322"/>
      <c r="J154" s="322"/>
      <c r="O154" s="277"/>
    </row>
    <row r="155" spans="1:15" s="302" customFormat="1">
      <c r="A155" s="331"/>
      <c r="B155" s="347"/>
      <c r="C155" s="335"/>
      <c r="D155" s="333"/>
      <c r="E155" s="332"/>
      <c r="F155" s="334"/>
      <c r="G155" s="332"/>
      <c r="H155" s="332"/>
      <c r="I155" s="322"/>
      <c r="J155" s="322"/>
      <c r="O155" s="277"/>
    </row>
    <row r="156" spans="1:15" s="302" customFormat="1">
      <c r="A156" s="331"/>
      <c r="B156" s="347"/>
      <c r="C156" s="335"/>
      <c r="D156" s="333"/>
      <c r="E156" s="332"/>
      <c r="F156" s="334"/>
      <c r="G156" s="332"/>
      <c r="H156" s="332"/>
      <c r="I156" s="322"/>
      <c r="J156" s="322"/>
      <c r="O156" s="277"/>
    </row>
    <row r="157" spans="1:15" s="302" customFormat="1">
      <c r="A157" s="331"/>
      <c r="B157" s="347"/>
      <c r="C157" s="348"/>
      <c r="D157" s="333"/>
      <c r="E157" s="332"/>
      <c r="F157" s="334"/>
      <c r="G157" s="332"/>
      <c r="H157" s="332"/>
      <c r="I157" s="322"/>
      <c r="J157" s="322"/>
      <c r="O157" s="277"/>
    </row>
    <row r="158" spans="1:15" s="302" customFormat="1">
      <c r="A158" s="331"/>
      <c r="B158" s="347"/>
      <c r="C158" s="348"/>
      <c r="D158" s="333"/>
      <c r="E158" s="332"/>
      <c r="F158" s="334"/>
      <c r="G158" s="332"/>
      <c r="H158" s="332"/>
      <c r="I158" s="322"/>
      <c r="J158" s="322"/>
      <c r="O158" s="277"/>
    </row>
    <row r="159" spans="1:15" s="302" customFormat="1">
      <c r="A159" s="331"/>
      <c r="B159" s="347"/>
      <c r="C159" s="348"/>
      <c r="D159" s="333"/>
      <c r="E159" s="332"/>
      <c r="F159" s="334"/>
      <c r="G159" s="332"/>
      <c r="H159" s="332"/>
      <c r="I159" s="322"/>
      <c r="J159" s="322"/>
      <c r="O159" s="277"/>
    </row>
    <row r="160" spans="1:15" s="302" customFormat="1">
      <c r="A160" s="331"/>
      <c r="B160" s="347"/>
      <c r="C160" s="348"/>
      <c r="D160" s="333"/>
      <c r="E160" s="332"/>
      <c r="F160" s="334"/>
      <c r="G160" s="332"/>
      <c r="H160" s="332"/>
      <c r="I160" s="322"/>
      <c r="J160" s="322"/>
      <c r="O160" s="277"/>
    </row>
    <row r="161" spans="1:15" s="302" customFormat="1">
      <c r="A161" s="331"/>
      <c r="B161" s="347"/>
      <c r="C161" s="348"/>
      <c r="D161" s="333"/>
      <c r="E161" s="332"/>
      <c r="F161" s="334"/>
      <c r="G161" s="332"/>
      <c r="H161" s="332"/>
      <c r="I161" s="322"/>
      <c r="J161" s="322"/>
      <c r="O161" s="277"/>
    </row>
    <row r="162" spans="1:15" s="302" customFormat="1">
      <c r="A162" s="331"/>
      <c r="B162" s="347"/>
      <c r="C162" s="348"/>
      <c r="D162" s="333"/>
      <c r="E162" s="332"/>
      <c r="F162" s="334"/>
      <c r="G162" s="332"/>
      <c r="H162" s="332"/>
      <c r="I162" s="322"/>
      <c r="J162" s="322"/>
      <c r="O162" s="277"/>
    </row>
    <row r="163" spans="1:15" s="302" customFormat="1">
      <c r="A163" s="331"/>
      <c r="B163" s="347"/>
      <c r="C163" s="348"/>
      <c r="D163" s="333"/>
      <c r="E163" s="332"/>
      <c r="F163" s="334"/>
      <c r="G163" s="332"/>
      <c r="H163" s="332"/>
      <c r="I163" s="322"/>
      <c r="J163" s="322"/>
      <c r="O163" s="277"/>
    </row>
    <row r="164" spans="1:15" s="302" customFormat="1">
      <c r="A164" s="331"/>
      <c r="B164" s="347"/>
      <c r="C164" s="348"/>
      <c r="D164" s="333"/>
      <c r="E164" s="332"/>
      <c r="F164" s="334"/>
      <c r="G164" s="332"/>
      <c r="H164" s="332"/>
      <c r="I164" s="322"/>
      <c r="J164" s="322"/>
      <c r="O164" s="277"/>
    </row>
    <row r="165" spans="1:15" s="302" customFormat="1">
      <c r="A165" s="331"/>
      <c r="B165" s="347"/>
      <c r="C165" s="348"/>
      <c r="D165" s="333"/>
      <c r="E165" s="332"/>
      <c r="F165" s="334"/>
      <c r="G165" s="332"/>
      <c r="H165" s="332"/>
      <c r="I165" s="322"/>
      <c r="J165" s="322"/>
      <c r="O165" s="277"/>
    </row>
    <row r="166" spans="1:15" s="302" customFormat="1">
      <c r="A166" s="331"/>
      <c r="B166" s="347"/>
      <c r="C166" s="348"/>
      <c r="D166" s="333"/>
      <c r="E166" s="332"/>
      <c r="F166" s="334"/>
      <c r="G166" s="332"/>
      <c r="H166" s="332"/>
      <c r="I166" s="322"/>
      <c r="J166" s="322"/>
      <c r="O166" s="277"/>
    </row>
    <row r="167" spans="1:15" s="302" customFormat="1">
      <c r="A167" s="331"/>
      <c r="B167" s="347"/>
      <c r="C167" s="348"/>
      <c r="D167" s="333"/>
      <c r="E167" s="332"/>
      <c r="F167" s="334"/>
      <c r="G167" s="332"/>
      <c r="H167" s="332"/>
      <c r="I167" s="322"/>
      <c r="J167" s="322"/>
      <c r="O167" s="277"/>
    </row>
    <row r="168" spans="1:15" s="302" customFormat="1">
      <c r="A168" s="331"/>
      <c r="B168" s="347"/>
      <c r="C168" s="348"/>
      <c r="D168" s="333"/>
      <c r="E168" s="332"/>
      <c r="F168" s="334"/>
      <c r="G168" s="332"/>
      <c r="H168" s="332"/>
      <c r="I168" s="322"/>
      <c r="J168" s="322"/>
      <c r="O168" s="277"/>
    </row>
    <row r="169" spans="1:15" s="302" customFormat="1">
      <c r="A169" s="331"/>
      <c r="B169" s="347"/>
      <c r="C169" s="348"/>
      <c r="D169" s="333"/>
      <c r="E169" s="332"/>
      <c r="F169" s="334"/>
      <c r="G169" s="332"/>
      <c r="H169" s="332"/>
      <c r="I169" s="322"/>
      <c r="J169" s="322"/>
      <c r="O169" s="277"/>
    </row>
    <row r="170" spans="1:15" s="302" customFormat="1">
      <c r="A170" s="331"/>
      <c r="B170" s="347"/>
      <c r="C170" s="348"/>
      <c r="D170" s="333"/>
      <c r="E170" s="332"/>
      <c r="F170" s="334"/>
      <c r="G170" s="332"/>
      <c r="H170" s="332"/>
      <c r="I170" s="322"/>
      <c r="J170" s="322"/>
      <c r="O170" s="277"/>
    </row>
    <row r="171" spans="1:15" s="302" customFormat="1">
      <c r="A171" s="349"/>
      <c r="B171" s="347"/>
      <c r="C171" s="348"/>
      <c r="D171" s="348"/>
      <c r="E171" s="348"/>
      <c r="F171" s="334"/>
      <c r="G171" s="332"/>
      <c r="H171" s="332"/>
      <c r="I171" s="322"/>
      <c r="J171" s="322"/>
      <c r="O171" s="277"/>
    </row>
    <row r="172" spans="1:15" s="302" customFormat="1">
      <c r="A172" s="349"/>
      <c r="B172" s="347"/>
      <c r="C172" s="348"/>
      <c r="D172" s="348"/>
      <c r="E172" s="348"/>
      <c r="F172" s="334"/>
      <c r="G172" s="332"/>
      <c r="H172" s="332"/>
      <c r="I172" s="322"/>
      <c r="J172" s="322"/>
      <c r="O172" s="277"/>
    </row>
    <row r="173" spans="1:15" s="302" customFormat="1">
      <c r="A173" s="349"/>
      <c r="B173" s="347"/>
      <c r="C173" s="348"/>
      <c r="D173" s="348"/>
      <c r="E173" s="348"/>
      <c r="F173" s="334"/>
      <c r="G173" s="332"/>
      <c r="H173" s="332"/>
      <c r="I173" s="322"/>
      <c r="J173" s="322"/>
      <c r="O173" s="277"/>
    </row>
    <row r="174" spans="1:15" s="302" customFormat="1">
      <c r="A174" s="349"/>
      <c r="B174" s="347"/>
      <c r="C174" s="348"/>
      <c r="D174" s="348"/>
      <c r="E174" s="348"/>
      <c r="F174" s="334"/>
      <c r="G174" s="332"/>
      <c r="H174" s="332"/>
      <c r="I174" s="322"/>
      <c r="J174" s="322"/>
      <c r="O174" s="277"/>
    </row>
    <row r="175" spans="1:15" s="302" customFormat="1">
      <c r="A175" s="349"/>
      <c r="B175" s="347"/>
      <c r="C175" s="348"/>
      <c r="D175" s="348"/>
      <c r="E175" s="348"/>
      <c r="F175" s="334"/>
      <c r="G175" s="332" t="str">
        <f t="shared" ref="G175:G195" si="2">IF(A175=0,"",E175*(1-F175))</f>
        <v/>
      </c>
      <c r="H175" s="332" t="str">
        <f t="shared" ref="H175:H195" si="3">IF(A175=0,"",MIN(E175,G175))</f>
        <v/>
      </c>
      <c r="I175" s="322"/>
      <c r="J175" s="322"/>
      <c r="O175" s="277"/>
    </row>
    <row r="176" spans="1:15" s="302" customFormat="1">
      <c r="A176" s="349"/>
      <c r="B176" s="347"/>
      <c r="C176" s="348"/>
      <c r="D176" s="348"/>
      <c r="E176" s="348"/>
      <c r="F176" s="334"/>
      <c r="G176" s="332" t="str">
        <f t="shared" si="2"/>
        <v/>
      </c>
      <c r="H176" s="332" t="str">
        <f t="shared" si="3"/>
        <v/>
      </c>
      <c r="I176" s="322"/>
      <c r="J176" s="322"/>
      <c r="O176" s="277"/>
    </row>
    <row r="177" spans="1:15" s="302" customFormat="1">
      <c r="A177" s="349"/>
      <c r="B177" s="347"/>
      <c r="C177" s="348"/>
      <c r="D177" s="348"/>
      <c r="E177" s="348"/>
      <c r="F177" s="334"/>
      <c r="G177" s="332" t="str">
        <f t="shared" si="2"/>
        <v/>
      </c>
      <c r="H177" s="332" t="str">
        <f t="shared" si="3"/>
        <v/>
      </c>
      <c r="I177" s="322"/>
      <c r="J177" s="322"/>
      <c r="O177" s="277"/>
    </row>
    <row r="178" spans="1:15" s="302" customFormat="1">
      <c r="A178" s="349"/>
      <c r="B178" s="347"/>
      <c r="C178" s="348"/>
      <c r="D178" s="348"/>
      <c r="E178" s="348"/>
      <c r="F178" s="334"/>
      <c r="G178" s="332" t="str">
        <f t="shared" si="2"/>
        <v/>
      </c>
      <c r="H178" s="332" t="str">
        <f t="shared" si="3"/>
        <v/>
      </c>
      <c r="I178" s="322"/>
      <c r="J178" s="322"/>
      <c r="O178" s="277"/>
    </row>
    <row r="179" spans="1:15" s="302" customFormat="1">
      <c r="A179" s="349"/>
      <c r="B179" s="347"/>
      <c r="C179" s="348"/>
      <c r="D179" s="348"/>
      <c r="E179" s="348"/>
      <c r="F179" s="334"/>
      <c r="G179" s="332" t="str">
        <f t="shared" si="2"/>
        <v/>
      </c>
      <c r="H179" s="332" t="str">
        <f t="shared" si="3"/>
        <v/>
      </c>
      <c r="I179" s="322"/>
      <c r="J179" s="322"/>
      <c r="O179" s="277"/>
    </row>
    <row r="180" spans="1:15" s="302" customFormat="1">
      <c r="A180" s="349"/>
      <c r="B180" s="347"/>
      <c r="C180" s="348"/>
      <c r="D180" s="348"/>
      <c r="E180" s="348"/>
      <c r="F180" s="334"/>
      <c r="G180" s="332" t="str">
        <f t="shared" si="2"/>
        <v/>
      </c>
      <c r="H180" s="332" t="str">
        <f t="shared" si="3"/>
        <v/>
      </c>
      <c r="I180" s="322"/>
      <c r="J180" s="322"/>
      <c r="O180" s="277"/>
    </row>
    <row r="181" spans="1:15" s="302" customFormat="1">
      <c r="A181" s="349"/>
      <c r="B181" s="347"/>
      <c r="C181" s="348"/>
      <c r="D181" s="348"/>
      <c r="E181" s="348"/>
      <c r="F181" s="334"/>
      <c r="G181" s="332" t="str">
        <f t="shared" si="2"/>
        <v/>
      </c>
      <c r="H181" s="332" t="str">
        <f t="shared" si="3"/>
        <v/>
      </c>
      <c r="I181" s="322"/>
      <c r="J181" s="322"/>
      <c r="O181" s="277"/>
    </row>
    <row r="182" spans="1:15" s="302" customFormat="1">
      <c r="A182" s="349"/>
      <c r="B182" s="347"/>
      <c r="C182" s="348"/>
      <c r="D182" s="348"/>
      <c r="E182" s="348"/>
      <c r="F182" s="334"/>
      <c r="G182" s="332" t="str">
        <f t="shared" si="2"/>
        <v/>
      </c>
      <c r="H182" s="332" t="str">
        <f t="shared" si="3"/>
        <v/>
      </c>
      <c r="I182" s="322"/>
      <c r="J182" s="322"/>
      <c r="O182" s="277"/>
    </row>
    <row r="183" spans="1:15" s="302" customFormat="1">
      <c r="A183" s="349"/>
      <c r="B183" s="347"/>
      <c r="C183" s="348"/>
      <c r="D183" s="348"/>
      <c r="E183" s="348"/>
      <c r="F183" s="334"/>
      <c r="G183" s="332" t="str">
        <f t="shared" si="2"/>
        <v/>
      </c>
      <c r="H183" s="332" t="str">
        <f t="shared" si="3"/>
        <v/>
      </c>
      <c r="I183" s="322"/>
      <c r="J183" s="322"/>
      <c r="O183" s="277"/>
    </row>
    <row r="184" spans="1:15" s="302" customFormat="1">
      <c r="A184" s="349"/>
      <c r="B184" s="347"/>
      <c r="C184" s="348"/>
      <c r="D184" s="348"/>
      <c r="E184" s="348"/>
      <c r="F184" s="334"/>
      <c r="G184" s="332" t="str">
        <f t="shared" si="2"/>
        <v/>
      </c>
      <c r="H184" s="332" t="str">
        <f t="shared" si="3"/>
        <v/>
      </c>
      <c r="I184" s="322"/>
      <c r="J184" s="322"/>
      <c r="O184" s="277"/>
    </row>
    <row r="185" spans="1:15" s="302" customFormat="1">
      <c r="A185" s="349"/>
      <c r="B185" s="347"/>
      <c r="C185" s="348"/>
      <c r="D185" s="348"/>
      <c r="E185" s="348"/>
      <c r="F185" s="334"/>
      <c r="G185" s="332" t="str">
        <f t="shared" si="2"/>
        <v/>
      </c>
      <c r="H185" s="332" t="str">
        <f t="shared" si="3"/>
        <v/>
      </c>
      <c r="I185" s="322"/>
      <c r="J185" s="322"/>
      <c r="O185" s="277"/>
    </row>
    <row r="186" spans="1:15" s="302" customFormat="1">
      <c r="A186" s="349"/>
      <c r="B186" s="347"/>
      <c r="C186" s="348"/>
      <c r="D186" s="348"/>
      <c r="E186" s="348"/>
      <c r="F186" s="334"/>
      <c r="G186" s="332" t="str">
        <f t="shared" si="2"/>
        <v/>
      </c>
      <c r="H186" s="332" t="str">
        <f t="shared" si="3"/>
        <v/>
      </c>
      <c r="I186" s="322"/>
      <c r="J186" s="322"/>
      <c r="O186" s="277"/>
    </row>
    <row r="187" spans="1:15" s="302" customFormat="1">
      <c r="A187" s="349"/>
      <c r="B187" s="347"/>
      <c r="C187" s="348"/>
      <c r="D187" s="348"/>
      <c r="E187" s="348"/>
      <c r="F187" s="334"/>
      <c r="G187" s="332" t="str">
        <f t="shared" si="2"/>
        <v/>
      </c>
      <c r="H187" s="332" t="str">
        <f t="shared" si="3"/>
        <v/>
      </c>
      <c r="I187" s="322"/>
      <c r="J187" s="322"/>
      <c r="O187" s="277"/>
    </row>
    <row r="188" spans="1:15" s="302" customFormat="1">
      <c r="A188" s="349"/>
      <c r="B188" s="347"/>
      <c r="C188" s="348"/>
      <c r="D188" s="348"/>
      <c r="E188" s="348"/>
      <c r="F188" s="334"/>
      <c r="G188" s="332" t="str">
        <f t="shared" si="2"/>
        <v/>
      </c>
      <c r="H188" s="332" t="str">
        <f t="shared" si="3"/>
        <v/>
      </c>
      <c r="I188" s="322"/>
      <c r="J188" s="322"/>
      <c r="O188" s="277"/>
    </row>
    <row r="189" spans="1:15" s="302" customFormat="1">
      <c r="A189" s="349"/>
      <c r="B189" s="347"/>
      <c r="C189" s="348"/>
      <c r="D189" s="348"/>
      <c r="E189" s="348"/>
      <c r="F189" s="334"/>
      <c r="G189" s="332" t="str">
        <f t="shared" si="2"/>
        <v/>
      </c>
      <c r="H189" s="332" t="str">
        <f t="shared" si="3"/>
        <v/>
      </c>
      <c r="I189" s="322"/>
      <c r="J189" s="322"/>
      <c r="O189" s="277"/>
    </row>
    <row r="190" spans="1:15" s="302" customFormat="1">
      <c r="A190" s="349"/>
      <c r="B190" s="347"/>
      <c r="C190" s="348"/>
      <c r="D190" s="348"/>
      <c r="E190" s="348"/>
      <c r="F190" s="334"/>
      <c r="G190" s="332" t="str">
        <f t="shared" si="2"/>
        <v/>
      </c>
      <c r="H190" s="332" t="str">
        <f t="shared" si="3"/>
        <v/>
      </c>
      <c r="I190" s="322"/>
      <c r="J190" s="322"/>
      <c r="O190" s="277"/>
    </row>
    <row r="191" spans="1:15" s="302" customFormat="1">
      <c r="A191" s="349"/>
      <c r="B191" s="347"/>
      <c r="C191" s="348"/>
      <c r="D191" s="348"/>
      <c r="E191" s="348"/>
      <c r="F191" s="334"/>
      <c r="G191" s="332" t="str">
        <f t="shared" si="2"/>
        <v/>
      </c>
      <c r="H191" s="332" t="str">
        <f t="shared" si="3"/>
        <v/>
      </c>
      <c r="I191" s="322"/>
      <c r="J191" s="322"/>
      <c r="O191" s="277"/>
    </row>
    <row r="192" spans="1:15" s="302" customFormat="1">
      <c r="A192" s="349"/>
      <c r="B192" s="347"/>
      <c r="C192" s="348"/>
      <c r="D192" s="348"/>
      <c r="E192" s="348"/>
      <c r="F192" s="334"/>
      <c r="G192" s="332" t="str">
        <f t="shared" si="2"/>
        <v/>
      </c>
      <c r="H192" s="332" t="str">
        <f t="shared" si="3"/>
        <v/>
      </c>
      <c r="I192" s="322"/>
      <c r="J192" s="322"/>
      <c r="O192" s="277"/>
    </row>
    <row r="193" spans="1:23" s="302" customFormat="1">
      <c r="A193" s="349"/>
      <c r="B193" s="347"/>
      <c r="C193" s="348"/>
      <c r="D193" s="348"/>
      <c r="E193" s="348"/>
      <c r="F193" s="334"/>
      <c r="G193" s="332" t="str">
        <f t="shared" si="2"/>
        <v/>
      </c>
      <c r="H193" s="332" t="str">
        <f t="shared" si="3"/>
        <v/>
      </c>
      <c r="I193" s="322"/>
      <c r="J193" s="322"/>
      <c r="O193" s="277"/>
    </row>
    <row r="194" spans="1:23" s="302" customFormat="1">
      <c r="A194" s="349"/>
      <c r="B194" s="347"/>
      <c r="C194" s="348"/>
      <c r="D194" s="348"/>
      <c r="E194" s="348"/>
      <c r="F194" s="334"/>
      <c r="G194" s="332" t="str">
        <f t="shared" si="2"/>
        <v/>
      </c>
      <c r="H194" s="332" t="str">
        <f t="shared" si="3"/>
        <v/>
      </c>
      <c r="I194" s="322"/>
      <c r="J194" s="322"/>
      <c r="O194" s="277"/>
    </row>
    <row r="195" spans="1:23" s="302" customFormat="1" ht="13.5" thickBot="1">
      <c r="A195" s="350"/>
      <c r="B195" s="351"/>
      <c r="C195" s="352"/>
      <c r="D195" s="352"/>
      <c r="E195" s="352"/>
      <c r="F195" s="353"/>
      <c r="G195" s="353" t="str">
        <f t="shared" si="2"/>
        <v/>
      </c>
      <c r="H195" s="353" t="str">
        <f t="shared" si="3"/>
        <v/>
      </c>
      <c r="I195" s="322"/>
      <c r="J195" s="322"/>
      <c r="O195" s="277"/>
    </row>
    <row r="196" spans="1:23" s="302" customFormat="1" ht="13.5" thickTop="1">
      <c r="G196" s="322"/>
      <c r="H196" s="322"/>
      <c r="I196" s="322"/>
      <c r="J196" s="322"/>
      <c r="K196" s="322"/>
      <c r="P196" s="277"/>
    </row>
    <row r="197" spans="1:23" s="302" customFormat="1">
      <c r="I197" s="322"/>
      <c r="J197" s="322"/>
      <c r="K197" s="322"/>
      <c r="L197" s="322"/>
      <c r="M197" s="322"/>
      <c r="R197" s="277"/>
    </row>
    <row r="198" spans="1:23" s="302" customFormat="1">
      <c r="I198" s="322"/>
      <c r="J198" s="322"/>
      <c r="K198" s="322"/>
      <c r="L198" s="322"/>
      <c r="M198" s="322"/>
      <c r="R198" s="277"/>
    </row>
    <row r="199" spans="1:23" s="302" customFormat="1">
      <c r="I199" s="322"/>
      <c r="J199" s="322"/>
      <c r="K199" s="322"/>
      <c r="L199" s="322"/>
      <c r="M199" s="322"/>
      <c r="R199" s="277"/>
    </row>
    <row r="200" spans="1:23" s="300" customFormat="1">
      <c r="A200" s="354" t="s">
        <v>175</v>
      </c>
      <c r="B200" s="355">
        <v>6</v>
      </c>
      <c r="C200" s="356"/>
      <c r="D200" s="356"/>
      <c r="E200" s="356"/>
      <c r="F200" s="356"/>
      <c r="G200" s="356"/>
      <c r="I200" s="354" t="s">
        <v>175</v>
      </c>
      <c r="J200" s="355" t="s">
        <v>225</v>
      </c>
      <c r="K200" s="356"/>
      <c r="L200" s="356"/>
      <c r="M200" s="356"/>
      <c r="N200" s="356"/>
      <c r="O200" s="356"/>
      <c r="Q200" s="354" t="s">
        <v>175</v>
      </c>
      <c r="R200" s="355" t="s">
        <v>457</v>
      </c>
    </row>
    <row r="201" spans="1:23" s="300" customFormat="1" ht="12.75" customHeight="1">
      <c r="A201" s="459" t="s">
        <v>236</v>
      </c>
      <c r="B201" s="460"/>
      <c r="C201" s="460"/>
      <c r="D201" s="460"/>
      <c r="E201" s="460"/>
      <c r="F201" s="460"/>
      <c r="G201" s="460"/>
      <c r="I201" s="459" t="s">
        <v>468</v>
      </c>
      <c r="J201" s="460"/>
      <c r="K201" s="460"/>
      <c r="L201" s="460"/>
      <c r="M201" s="460"/>
      <c r="N201" s="460"/>
      <c r="O201" s="460"/>
      <c r="Q201" s="439" t="s">
        <v>458</v>
      </c>
      <c r="R201" s="440"/>
      <c r="S201" s="440"/>
      <c r="T201" s="440"/>
      <c r="U201" s="440"/>
      <c r="V201" s="440"/>
      <c r="W201" s="441"/>
    </row>
    <row r="202" spans="1:23" s="302" customFormat="1" ht="24.75" customHeight="1">
      <c r="A202" s="357" t="s">
        <v>452</v>
      </c>
      <c r="B202" s="357" t="s">
        <v>142</v>
      </c>
      <c r="C202" s="357" t="s">
        <v>34</v>
      </c>
      <c r="D202" s="357" t="s">
        <v>35</v>
      </c>
      <c r="E202" s="357" t="s">
        <v>20</v>
      </c>
      <c r="F202" s="357" t="s">
        <v>21</v>
      </c>
      <c r="G202" s="357" t="s">
        <v>22</v>
      </c>
      <c r="I202" s="325" t="s">
        <v>452</v>
      </c>
      <c r="J202" s="325" t="s">
        <v>142</v>
      </c>
      <c r="K202" s="325" t="s">
        <v>34</v>
      </c>
      <c r="L202" s="325" t="s">
        <v>35</v>
      </c>
      <c r="M202" s="325" t="s">
        <v>20</v>
      </c>
      <c r="N202" s="325" t="s">
        <v>21</v>
      </c>
      <c r="O202" s="325" t="s">
        <v>22</v>
      </c>
      <c r="Q202" s="325" t="s">
        <v>452</v>
      </c>
      <c r="R202" s="325" t="s">
        <v>142</v>
      </c>
      <c r="S202" s="325" t="s">
        <v>34</v>
      </c>
      <c r="T202" s="325" t="s">
        <v>35</v>
      </c>
      <c r="U202" s="325" t="s">
        <v>20</v>
      </c>
      <c r="V202" s="325" t="s">
        <v>21</v>
      </c>
      <c r="W202" s="325" t="s">
        <v>22</v>
      </c>
    </row>
    <row r="203" spans="1:23" s="302" customFormat="1">
      <c r="A203" s="320"/>
      <c r="B203" s="320"/>
      <c r="C203" s="320"/>
      <c r="D203" s="320"/>
      <c r="E203" s="320"/>
      <c r="F203" s="320"/>
      <c r="G203" s="320"/>
      <c r="H203" s="300"/>
      <c r="I203" s="320"/>
      <c r="J203" s="320"/>
      <c r="K203" s="320"/>
      <c r="L203" s="320"/>
      <c r="M203" s="320"/>
      <c r="N203" s="320"/>
      <c r="O203" s="320"/>
      <c r="Q203" s="320"/>
      <c r="R203" s="320"/>
      <c r="S203" s="320"/>
      <c r="T203" s="320"/>
      <c r="U203" s="320"/>
      <c r="V203" s="320"/>
      <c r="W203" s="320"/>
    </row>
    <row r="204" spans="1:23" s="302" customFormat="1">
      <c r="A204" s="320"/>
      <c r="B204" s="320"/>
      <c r="C204" s="320"/>
      <c r="D204" s="320"/>
      <c r="E204" s="320"/>
      <c r="F204" s="320"/>
      <c r="G204" s="320"/>
      <c r="H204" s="300"/>
      <c r="I204" s="320"/>
      <c r="J204" s="320"/>
      <c r="K204" s="320"/>
      <c r="L204" s="320"/>
      <c r="M204" s="320"/>
      <c r="N204" s="320"/>
      <c r="O204" s="320"/>
      <c r="Q204" s="320"/>
      <c r="R204" s="320"/>
      <c r="S204" s="320"/>
      <c r="T204" s="320"/>
      <c r="U204" s="320"/>
      <c r="V204" s="320"/>
      <c r="W204" s="320"/>
    </row>
    <row r="205" spans="1:23" s="302" customFormat="1">
      <c r="A205" s="320"/>
      <c r="B205" s="320"/>
      <c r="C205" s="320"/>
      <c r="D205" s="320"/>
      <c r="E205" s="320"/>
      <c r="F205" s="320"/>
      <c r="G205" s="320"/>
      <c r="H205" s="300"/>
      <c r="I205" s="320"/>
      <c r="J205" s="320"/>
      <c r="K205" s="320"/>
      <c r="L205" s="320"/>
      <c r="M205" s="320"/>
      <c r="N205" s="320"/>
      <c r="O205" s="320"/>
      <c r="Q205" s="320"/>
      <c r="R205" s="320"/>
      <c r="S205" s="320"/>
      <c r="T205" s="320"/>
      <c r="U205" s="320"/>
      <c r="V205" s="320"/>
      <c r="W205" s="320"/>
    </row>
    <row r="206" spans="1:23" s="302" customFormat="1">
      <c r="A206" s="320"/>
      <c r="B206" s="320"/>
      <c r="C206" s="320"/>
      <c r="D206" s="320"/>
      <c r="E206" s="320"/>
      <c r="F206" s="320"/>
      <c r="G206" s="320"/>
      <c r="H206" s="300"/>
      <c r="I206" s="320"/>
      <c r="J206" s="320"/>
      <c r="K206" s="320"/>
      <c r="L206" s="320"/>
      <c r="M206" s="320"/>
      <c r="N206" s="320"/>
      <c r="O206" s="320"/>
      <c r="Q206" s="320"/>
      <c r="R206" s="320"/>
      <c r="S206" s="320"/>
      <c r="T206" s="320"/>
      <c r="U206" s="320"/>
      <c r="V206" s="320"/>
      <c r="W206" s="320"/>
    </row>
    <row r="207" spans="1:23" s="302" customFormat="1">
      <c r="A207" s="320"/>
      <c r="B207" s="320"/>
      <c r="C207" s="320"/>
      <c r="D207" s="320"/>
      <c r="E207" s="320"/>
      <c r="F207" s="320"/>
      <c r="G207" s="320"/>
      <c r="H207" s="300"/>
      <c r="I207" s="320"/>
      <c r="J207" s="320"/>
      <c r="K207" s="320"/>
      <c r="L207" s="320"/>
      <c r="M207" s="320"/>
      <c r="N207" s="320"/>
      <c r="O207" s="320"/>
      <c r="Q207" s="320"/>
      <c r="R207" s="320"/>
      <c r="S207" s="320"/>
      <c r="T207" s="320"/>
      <c r="U207" s="320"/>
      <c r="V207" s="320"/>
      <c r="W207" s="320"/>
    </row>
    <row r="208" spans="1:23" s="302" customFormat="1">
      <c r="A208" s="320"/>
      <c r="B208" s="320"/>
      <c r="C208" s="320"/>
      <c r="D208" s="320"/>
      <c r="E208" s="320"/>
      <c r="F208" s="320"/>
      <c r="G208" s="320"/>
      <c r="H208" s="300"/>
      <c r="I208" s="320"/>
      <c r="J208" s="320"/>
      <c r="K208" s="320"/>
      <c r="L208" s="320"/>
      <c r="M208" s="320"/>
      <c r="N208" s="320"/>
      <c r="O208" s="320"/>
      <c r="Q208" s="320"/>
      <c r="R208" s="320"/>
      <c r="S208" s="320"/>
      <c r="T208" s="320"/>
      <c r="U208" s="320"/>
      <c r="V208" s="320"/>
      <c r="W208" s="320"/>
    </row>
    <row r="209" spans="1:23" s="302" customFormat="1">
      <c r="A209" s="320"/>
      <c r="B209" s="320"/>
      <c r="C209" s="320"/>
      <c r="D209" s="320"/>
      <c r="E209" s="320"/>
      <c r="F209" s="320"/>
      <c r="G209" s="320"/>
      <c r="H209" s="300"/>
      <c r="I209" s="320"/>
      <c r="J209" s="320"/>
      <c r="K209" s="320"/>
      <c r="L209" s="320"/>
      <c r="M209" s="320"/>
      <c r="N209" s="320"/>
      <c r="O209" s="320"/>
      <c r="Q209" s="320"/>
      <c r="R209" s="320"/>
      <c r="S209" s="320"/>
      <c r="T209" s="320"/>
      <c r="U209" s="320"/>
      <c r="V209" s="320"/>
      <c r="W209" s="320"/>
    </row>
    <row r="210" spans="1:23" s="302" customFormat="1">
      <c r="A210" s="320"/>
      <c r="B210" s="320"/>
      <c r="C210" s="320"/>
      <c r="D210" s="320"/>
      <c r="E210" s="320"/>
      <c r="F210" s="320"/>
      <c r="G210" s="320"/>
      <c r="H210" s="300"/>
      <c r="I210" s="320"/>
      <c r="J210" s="320"/>
      <c r="K210" s="320"/>
      <c r="L210" s="320"/>
      <c r="M210" s="320"/>
      <c r="N210" s="320"/>
      <c r="O210" s="320"/>
      <c r="Q210" s="320"/>
      <c r="R210" s="320"/>
      <c r="S210" s="320"/>
      <c r="T210" s="320"/>
      <c r="U210" s="320"/>
      <c r="V210" s="320"/>
      <c r="W210" s="320"/>
    </row>
    <row r="211" spans="1:23" s="302" customFormat="1">
      <c r="A211" s="320"/>
      <c r="B211" s="320"/>
      <c r="C211" s="320"/>
      <c r="D211" s="320"/>
      <c r="E211" s="320"/>
      <c r="F211" s="320"/>
      <c r="G211" s="320"/>
      <c r="H211" s="300"/>
      <c r="I211" s="320"/>
      <c r="J211" s="320"/>
      <c r="K211" s="320"/>
      <c r="L211" s="320"/>
      <c r="M211" s="320"/>
      <c r="N211" s="320"/>
      <c r="O211" s="320"/>
      <c r="Q211" s="320"/>
      <c r="R211" s="320"/>
      <c r="S211" s="320"/>
      <c r="T211" s="320"/>
      <c r="U211" s="320"/>
      <c r="V211" s="320"/>
      <c r="W211" s="320"/>
    </row>
    <row r="212" spans="1:23" s="302" customFormat="1">
      <c r="A212" s="320"/>
      <c r="B212" s="320"/>
      <c r="C212" s="320"/>
      <c r="D212" s="320"/>
      <c r="E212" s="320"/>
      <c r="F212" s="320"/>
      <c r="G212" s="320"/>
      <c r="H212" s="300"/>
      <c r="I212" s="320"/>
      <c r="J212" s="320"/>
      <c r="K212" s="320"/>
      <c r="L212" s="320"/>
      <c r="M212" s="320"/>
      <c r="N212" s="320"/>
      <c r="O212" s="320"/>
      <c r="Q212" s="320"/>
      <c r="R212" s="320"/>
      <c r="S212" s="320"/>
      <c r="T212" s="320"/>
      <c r="U212" s="320"/>
      <c r="V212" s="320"/>
      <c r="W212" s="320"/>
    </row>
    <row r="213" spans="1:23" s="302" customFormat="1">
      <c r="A213" s="320"/>
      <c r="B213" s="320"/>
      <c r="C213" s="320"/>
      <c r="D213" s="320"/>
      <c r="E213" s="320"/>
      <c r="F213" s="320"/>
      <c r="G213" s="320"/>
      <c r="H213" s="300"/>
      <c r="I213" s="320"/>
      <c r="J213" s="320"/>
      <c r="K213" s="320"/>
      <c r="L213" s="320"/>
      <c r="M213" s="320"/>
      <c r="N213" s="320"/>
      <c r="O213" s="320"/>
      <c r="Q213" s="320"/>
      <c r="R213" s="320"/>
      <c r="S213" s="320"/>
      <c r="T213" s="320"/>
      <c r="U213" s="320"/>
      <c r="V213" s="320"/>
      <c r="W213" s="320"/>
    </row>
    <row r="214" spans="1:23" s="302" customFormat="1">
      <c r="A214" s="320"/>
      <c r="B214" s="320"/>
      <c r="C214" s="320"/>
      <c r="D214" s="320"/>
      <c r="E214" s="320"/>
      <c r="F214" s="320"/>
      <c r="G214" s="320"/>
      <c r="H214" s="300"/>
      <c r="I214" s="320"/>
      <c r="J214" s="320"/>
      <c r="K214" s="320"/>
      <c r="L214" s="320"/>
      <c r="M214" s="320"/>
      <c r="N214" s="320"/>
      <c r="O214" s="320"/>
      <c r="Q214" s="320"/>
      <c r="R214" s="320"/>
      <c r="S214" s="320"/>
      <c r="T214" s="320"/>
      <c r="U214" s="320"/>
      <c r="V214" s="320"/>
      <c r="W214" s="320"/>
    </row>
    <row r="215" spans="1:23" s="302" customFormat="1">
      <c r="A215" s="320"/>
      <c r="B215" s="320"/>
      <c r="C215" s="320"/>
      <c r="D215" s="320"/>
      <c r="E215" s="320"/>
      <c r="F215" s="320"/>
      <c r="G215" s="320"/>
      <c r="H215" s="300"/>
      <c r="I215" s="320"/>
      <c r="J215" s="320"/>
      <c r="K215" s="320"/>
      <c r="L215" s="320"/>
      <c r="M215" s="320"/>
      <c r="N215" s="320"/>
      <c r="O215" s="320"/>
      <c r="Q215" s="320"/>
      <c r="R215" s="320"/>
      <c r="S215" s="320"/>
      <c r="T215" s="320"/>
      <c r="U215" s="320"/>
      <c r="V215" s="320"/>
      <c r="W215" s="320"/>
    </row>
    <row r="216" spans="1:23" s="302" customFormat="1">
      <c r="A216" s="320"/>
      <c r="B216" s="320"/>
      <c r="C216" s="320"/>
      <c r="D216" s="320"/>
      <c r="E216" s="320"/>
      <c r="F216" s="320"/>
      <c r="G216" s="320"/>
      <c r="H216" s="300"/>
      <c r="I216" s="320"/>
      <c r="J216" s="320"/>
      <c r="K216" s="320"/>
      <c r="L216" s="320"/>
      <c r="M216" s="320"/>
      <c r="N216" s="320"/>
      <c r="O216" s="320"/>
      <c r="Q216" s="320"/>
      <c r="R216" s="320"/>
      <c r="S216" s="320"/>
      <c r="T216" s="320"/>
      <c r="U216" s="320"/>
      <c r="V216" s="320"/>
      <c r="W216" s="320"/>
    </row>
    <row r="217" spans="1:23" s="302" customFormat="1">
      <c r="A217" s="320"/>
      <c r="B217" s="320"/>
      <c r="C217" s="320"/>
      <c r="D217" s="320"/>
      <c r="E217" s="320"/>
      <c r="F217" s="320"/>
      <c r="G217" s="320"/>
      <c r="H217" s="300"/>
      <c r="I217" s="320"/>
      <c r="J217" s="320"/>
      <c r="K217" s="320"/>
      <c r="L217" s="320"/>
      <c r="M217" s="320"/>
      <c r="N217" s="320"/>
      <c r="O217" s="320"/>
      <c r="Q217" s="320"/>
      <c r="R217" s="320"/>
      <c r="S217" s="320"/>
      <c r="T217" s="320"/>
      <c r="U217" s="320"/>
      <c r="V217" s="320"/>
      <c r="W217" s="320"/>
    </row>
    <row r="218" spans="1:23" s="302" customFormat="1">
      <c r="A218" s="320"/>
      <c r="B218" s="320"/>
      <c r="C218" s="320"/>
      <c r="D218" s="320"/>
      <c r="E218" s="320"/>
      <c r="F218" s="320"/>
      <c r="G218" s="320"/>
      <c r="H218" s="300"/>
      <c r="I218" s="320"/>
      <c r="J218" s="320"/>
      <c r="K218" s="320"/>
      <c r="L218" s="320"/>
      <c r="M218" s="320"/>
      <c r="N218" s="320"/>
      <c r="O218" s="320"/>
      <c r="Q218" s="320"/>
      <c r="R218" s="320"/>
      <c r="S218" s="320"/>
      <c r="T218" s="320"/>
      <c r="U218" s="320"/>
      <c r="V218" s="320"/>
      <c r="W218" s="320"/>
    </row>
    <row r="219" spans="1:23" s="302" customFormat="1">
      <c r="A219" s="320"/>
      <c r="B219" s="320"/>
      <c r="C219" s="320"/>
      <c r="D219" s="320"/>
      <c r="E219" s="320"/>
      <c r="F219" s="320"/>
      <c r="G219" s="320"/>
      <c r="H219" s="300"/>
      <c r="I219" s="320"/>
      <c r="J219" s="320"/>
      <c r="K219" s="320"/>
      <c r="L219" s="320"/>
      <c r="M219" s="320"/>
      <c r="N219" s="320"/>
      <c r="O219" s="320"/>
      <c r="Q219" s="320"/>
      <c r="R219" s="320"/>
      <c r="S219" s="320"/>
      <c r="T219" s="320"/>
      <c r="U219" s="320"/>
      <c r="V219" s="320"/>
      <c r="W219" s="320"/>
    </row>
    <row r="220" spans="1:23" s="302" customFormat="1">
      <c r="A220" s="320"/>
      <c r="B220" s="320"/>
      <c r="C220" s="320"/>
      <c r="D220" s="320"/>
      <c r="E220" s="320"/>
      <c r="F220" s="320"/>
      <c r="G220" s="320"/>
      <c r="H220" s="300"/>
      <c r="I220" s="320"/>
      <c r="J220" s="320"/>
      <c r="K220" s="320"/>
      <c r="L220" s="320"/>
      <c r="M220" s="320"/>
      <c r="N220" s="320"/>
      <c r="O220" s="320"/>
      <c r="Q220" s="320"/>
      <c r="R220" s="320"/>
      <c r="S220" s="320"/>
      <c r="T220" s="320"/>
      <c r="U220" s="320"/>
      <c r="V220" s="320"/>
      <c r="W220" s="320"/>
    </row>
    <row r="221" spans="1:23" s="302" customFormat="1">
      <c r="A221" s="320"/>
      <c r="B221" s="320"/>
      <c r="C221" s="320"/>
      <c r="D221" s="320"/>
      <c r="E221" s="320"/>
      <c r="F221" s="320"/>
      <c r="G221" s="320"/>
      <c r="I221" s="320"/>
      <c r="J221" s="320"/>
      <c r="K221" s="320"/>
      <c r="L221" s="320"/>
      <c r="M221" s="320"/>
      <c r="N221" s="320"/>
      <c r="O221" s="320"/>
      <c r="Q221" s="320"/>
      <c r="R221" s="320"/>
      <c r="S221" s="320"/>
      <c r="T221" s="320"/>
      <c r="U221" s="320"/>
      <c r="V221" s="320"/>
      <c r="W221" s="320"/>
    </row>
    <row r="222" spans="1:23" s="302" customFormat="1">
      <c r="A222" s="320"/>
      <c r="B222" s="320"/>
      <c r="C222" s="320"/>
      <c r="D222" s="320"/>
      <c r="E222" s="320"/>
      <c r="F222" s="320"/>
      <c r="G222" s="320"/>
      <c r="I222" s="320"/>
      <c r="J222" s="320"/>
      <c r="K222" s="320"/>
      <c r="L222" s="320"/>
      <c r="M222" s="320"/>
      <c r="N222" s="320"/>
      <c r="O222" s="320"/>
      <c r="Q222" s="320"/>
      <c r="R222" s="320"/>
      <c r="S222" s="320"/>
      <c r="T222" s="320"/>
      <c r="U222" s="320"/>
      <c r="V222" s="320"/>
      <c r="W222" s="320"/>
    </row>
    <row r="223" spans="1:23" s="302" customFormat="1">
      <c r="A223" s="320"/>
      <c r="B223" s="320"/>
      <c r="C223" s="320"/>
      <c r="D223" s="320"/>
      <c r="E223" s="320"/>
      <c r="F223" s="320"/>
      <c r="G223" s="320"/>
      <c r="I223" s="320"/>
      <c r="J223" s="320"/>
      <c r="K223" s="320"/>
      <c r="L223" s="320"/>
      <c r="M223" s="320"/>
      <c r="N223" s="320"/>
      <c r="O223" s="320"/>
      <c r="Q223" s="320"/>
      <c r="R223" s="320"/>
      <c r="S223" s="320"/>
      <c r="T223" s="320"/>
      <c r="U223" s="320"/>
      <c r="V223" s="320"/>
      <c r="W223" s="320"/>
    </row>
    <row r="224" spans="1:23" s="302" customFormat="1">
      <c r="A224" s="320"/>
      <c r="B224" s="320"/>
      <c r="C224" s="320"/>
      <c r="D224" s="320"/>
      <c r="E224" s="320"/>
      <c r="F224" s="320"/>
      <c r="G224" s="320"/>
      <c r="I224" s="320"/>
      <c r="J224" s="320"/>
      <c r="K224" s="320"/>
      <c r="L224" s="320"/>
      <c r="M224" s="320"/>
      <c r="N224" s="320"/>
      <c r="O224" s="320"/>
      <c r="Q224" s="320"/>
      <c r="R224" s="320"/>
      <c r="S224" s="320"/>
      <c r="T224" s="320"/>
      <c r="U224" s="320"/>
      <c r="V224" s="320"/>
      <c r="W224" s="320"/>
    </row>
    <row r="225" spans="1:23" s="302" customFormat="1">
      <c r="A225" s="320"/>
      <c r="B225" s="320"/>
      <c r="C225" s="320"/>
      <c r="D225" s="320"/>
      <c r="E225" s="320"/>
      <c r="F225" s="320"/>
      <c r="G225" s="320"/>
      <c r="I225" s="320"/>
      <c r="J225" s="320"/>
      <c r="K225" s="320"/>
      <c r="L225" s="320"/>
      <c r="M225" s="320"/>
      <c r="N225" s="320"/>
      <c r="O225" s="320"/>
      <c r="Q225" s="320"/>
      <c r="R225" s="320"/>
      <c r="S225" s="320"/>
      <c r="T225" s="320"/>
      <c r="U225" s="320"/>
      <c r="V225" s="320"/>
      <c r="W225" s="320"/>
    </row>
    <row r="226" spans="1:23" s="302" customFormat="1">
      <c r="A226" s="320"/>
      <c r="B226" s="320"/>
      <c r="C226" s="320"/>
      <c r="D226" s="320"/>
      <c r="E226" s="320"/>
      <c r="F226" s="320"/>
      <c r="G226" s="320"/>
      <c r="I226" s="320"/>
      <c r="J226" s="320"/>
      <c r="K226" s="320"/>
      <c r="L226" s="320"/>
      <c r="M226" s="320"/>
      <c r="N226" s="320"/>
      <c r="O226" s="320"/>
      <c r="Q226" s="320"/>
      <c r="R226" s="320"/>
      <c r="S226" s="320"/>
      <c r="T226" s="320"/>
      <c r="U226" s="320"/>
      <c r="V226" s="320"/>
      <c r="W226" s="320"/>
    </row>
    <row r="227" spans="1:23" s="302" customFormat="1">
      <c r="A227" s="320"/>
      <c r="B227" s="320"/>
      <c r="C227" s="320"/>
      <c r="D227" s="320"/>
      <c r="E227" s="320"/>
      <c r="F227" s="320"/>
      <c r="G227" s="320"/>
      <c r="I227" s="320"/>
      <c r="J227" s="320"/>
      <c r="K227" s="320"/>
      <c r="L227" s="320"/>
      <c r="M227" s="320"/>
      <c r="N227" s="320"/>
      <c r="O227" s="320"/>
      <c r="Q227" s="320"/>
      <c r="R227" s="320"/>
      <c r="S227" s="320"/>
      <c r="T227" s="320"/>
      <c r="U227" s="320"/>
      <c r="V227" s="320"/>
      <c r="W227" s="320"/>
    </row>
    <row r="228" spans="1:23" s="302" customFormat="1">
      <c r="A228" s="320"/>
      <c r="B228" s="320"/>
      <c r="C228" s="320"/>
      <c r="D228" s="320"/>
      <c r="E228" s="320"/>
      <c r="F228" s="320"/>
      <c r="G228" s="320"/>
      <c r="I228" s="320"/>
      <c r="J228" s="320"/>
      <c r="K228" s="320"/>
      <c r="L228" s="320"/>
      <c r="M228" s="320"/>
      <c r="N228" s="320"/>
      <c r="O228" s="320"/>
      <c r="Q228" s="320"/>
      <c r="R228" s="320"/>
      <c r="S228" s="320"/>
      <c r="T228" s="320"/>
      <c r="U228" s="320"/>
      <c r="V228" s="320"/>
      <c r="W228" s="320"/>
    </row>
    <row r="229" spans="1:23" s="302" customFormat="1">
      <c r="A229" s="320"/>
      <c r="B229" s="320"/>
      <c r="C229" s="320"/>
      <c r="D229" s="320"/>
      <c r="E229" s="320"/>
      <c r="F229" s="320"/>
      <c r="G229" s="320"/>
      <c r="I229" s="320"/>
      <c r="J229" s="320"/>
      <c r="K229" s="320"/>
      <c r="L229" s="320"/>
      <c r="M229" s="320"/>
      <c r="N229" s="320"/>
      <c r="O229" s="320"/>
      <c r="Q229" s="320"/>
      <c r="R229" s="320"/>
      <c r="S229" s="320"/>
      <c r="T229" s="320"/>
      <c r="U229" s="320"/>
      <c r="V229" s="320"/>
      <c r="W229" s="320"/>
    </row>
    <row r="230" spans="1:23" s="302" customFormat="1">
      <c r="A230" s="320"/>
      <c r="B230" s="320"/>
      <c r="C230" s="320"/>
      <c r="D230" s="320"/>
      <c r="E230" s="320"/>
      <c r="F230" s="320"/>
      <c r="G230" s="320"/>
      <c r="I230" s="320"/>
      <c r="J230" s="320"/>
      <c r="K230" s="320"/>
      <c r="L230" s="320"/>
      <c r="M230" s="320"/>
      <c r="N230" s="320"/>
      <c r="O230" s="320"/>
      <c r="Q230" s="320"/>
      <c r="R230" s="320"/>
      <c r="S230" s="320"/>
      <c r="T230" s="320"/>
      <c r="U230" s="320"/>
      <c r="V230" s="320"/>
      <c r="W230" s="320"/>
    </row>
    <row r="231" spans="1:23" s="302" customFormat="1">
      <c r="A231" s="320"/>
      <c r="B231" s="320"/>
      <c r="C231" s="320"/>
      <c r="D231" s="320"/>
      <c r="E231" s="320"/>
      <c r="F231" s="320"/>
      <c r="G231" s="320"/>
      <c r="I231" s="320"/>
      <c r="J231" s="320"/>
      <c r="K231" s="320"/>
      <c r="L231" s="320"/>
      <c r="M231" s="320"/>
      <c r="N231" s="320"/>
      <c r="O231" s="320"/>
      <c r="Q231" s="320"/>
      <c r="R231" s="320"/>
      <c r="S231" s="320"/>
      <c r="T231" s="320"/>
      <c r="U231" s="320"/>
      <c r="V231" s="320"/>
      <c r="W231" s="320"/>
    </row>
    <row r="232" spans="1:23" s="302" customFormat="1">
      <c r="A232" s="320"/>
      <c r="B232" s="320"/>
      <c r="C232" s="320"/>
      <c r="D232" s="320"/>
      <c r="E232" s="320"/>
      <c r="F232" s="320"/>
      <c r="G232" s="320"/>
      <c r="I232" s="320"/>
      <c r="J232" s="320"/>
      <c r="K232" s="320"/>
      <c r="L232" s="320"/>
      <c r="M232" s="320"/>
      <c r="N232" s="320"/>
      <c r="O232" s="320"/>
      <c r="Q232" s="320"/>
      <c r="R232" s="320"/>
      <c r="S232" s="320"/>
      <c r="T232" s="320"/>
      <c r="U232" s="320"/>
      <c r="V232" s="320"/>
      <c r="W232" s="320"/>
    </row>
    <row r="233" spans="1:23" s="302" customFormat="1">
      <c r="A233" s="320"/>
      <c r="B233" s="320"/>
      <c r="C233" s="320"/>
      <c r="D233" s="320"/>
      <c r="E233" s="320"/>
      <c r="F233" s="320"/>
      <c r="G233" s="320"/>
      <c r="I233" s="320"/>
      <c r="J233" s="320"/>
      <c r="K233" s="320"/>
      <c r="L233" s="320"/>
      <c r="M233" s="320"/>
      <c r="N233" s="320"/>
      <c r="O233" s="320"/>
      <c r="Q233" s="320"/>
      <c r="R233" s="320"/>
      <c r="S233" s="320"/>
      <c r="T233" s="320"/>
      <c r="U233" s="320"/>
      <c r="V233" s="320"/>
      <c r="W233" s="320"/>
    </row>
    <row r="234" spans="1:23" s="302" customFormat="1">
      <c r="A234" s="320"/>
      <c r="B234" s="320"/>
      <c r="C234" s="320"/>
      <c r="D234" s="320"/>
      <c r="E234" s="320"/>
      <c r="F234" s="320"/>
      <c r="G234" s="320"/>
      <c r="I234" s="320"/>
      <c r="J234" s="320"/>
      <c r="K234" s="320"/>
      <c r="L234" s="320"/>
      <c r="M234" s="320"/>
      <c r="N234" s="320"/>
      <c r="O234" s="320"/>
      <c r="Q234" s="320"/>
      <c r="R234" s="320"/>
      <c r="S234" s="320"/>
      <c r="T234" s="320"/>
      <c r="U234" s="320"/>
      <c r="V234" s="320"/>
      <c r="W234" s="320"/>
    </row>
    <row r="235" spans="1:23" s="302" customFormat="1">
      <c r="A235" s="320"/>
      <c r="B235" s="320"/>
      <c r="C235" s="320"/>
      <c r="D235" s="320"/>
      <c r="E235" s="320"/>
      <c r="F235" s="320"/>
      <c r="G235" s="320"/>
      <c r="I235" s="320"/>
      <c r="J235" s="320"/>
      <c r="K235" s="320"/>
      <c r="L235" s="320"/>
      <c r="M235" s="320"/>
      <c r="N235" s="320"/>
      <c r="O235" s="320"/>
      <c r="Q235" s="320"/>
      <c r="R235" s="320"/>
      <c r="S235" s="320"/>
      <c r="T235" s="320"/>
      <c r="U235" s="320"/>
      <c r="V235" s="320"/>
      <c r="W235" s="320"/>
    </row>
    <row r="236" spans="1:23" s="302" customFormat="1">
      <c r="A236" s="320"/>
      <c r="B236" s="320"/>
      <c r="C236" s="320"/>
      <c r="D236" s="320"/>
      <c r="E236" s="320"/>
      <c r="F236" s="320"/>
      <c r="G236" s="320"/>
      <c r="I236" s="320"/>
      <c r="J236" s="320"/>
      <c r="K236" s="320"/>
      <c r="L236" s="320"/>
      <c r="M236" s="320"/>
      <c r="N236" s="320"/>
      <c r="O236" s="320"/>
      <c r="Q236" s="320"/>
      <c r="R236" s="320"/>
      <c r="S236" s="320"/>
      <c r="T236" s="320"/>
      <c r="U236" s="320"/>
      <c r="V236" s="320"/>
      <c r="W236" s="320"/>
    </row>
    <row r="237" spans="1:23" s="302" customFormat="1">
      <c r="A237" s="320"/>
      <c r="B237" s="320"/>
      <c r="C237" s="320"/>
      <c r="D237" s="320"/>
      <c r="E237" s="320"/>
      <c r="F237" s="320"/>
      <c r="G237" s="320"/>
      <c r="I237" s="320"/>
      <c r="J237" s="320"/>
      <c r="K237" s="320"/>
      <c r="L237" s="320"/>
      <c r="M237" s="320"/>
      <c r="N237" s="320"/>
      <c r="O237" s="320"/>
      <c r="Q237" s="320"/>
      <c r="R237" s="320"/>
      <c r="S237" s="320"/>
      <c r="T237" s="320"/>
      <c r="U237" s="320"/>
      <c r="V237" s="320"/>
      <c r="W237" s="320"/>
    </row>
    <row r="238" spans="1:23" s="302" customFormat="1">
      <c r="A238" s="320"/>
      <c r="B238" s="320"/>
      <c r="C238" s="320"/>
      <c r="D238" s="320"/>
      <c r="E238" s="320"/>
      <c r="F238" s="320"/>
      <c r="G238" s="320"/>
      <c r="I238" s="320"/>
      <c r="J238" s="320"/>
      <c r="K238" s="320"/>
      <c r="L238" s="320"/>
      <c r="M238" s="320"/>
      <c r="N238" s="320"/>
      <c r="O238" s="320"/>
      <c r="Q238" s="320"/>
      <c r="R238" s="320"/>
      <c r="S238" s="320"/>
      <c r="T238" s="320"/>
      <c r="U238" s="320"/>
      <c r="V238" s="320"/>
      <c r="W238" s="320"/>
    </row>
    <row r="239" spans="1:23" s="302" customFormat="1">
      <c r="A239" s="320"/>
      <c r="B239" s="320"/>
      <c r="C239" s="320"/>
      <c r="D239" s="320"/>
      <c r="E239" s="320"/>
      <c r="F239" s="320"/>
      <c r="G239" s="320"/>
      <c r="I239" s="320"/>
      <c r="J239" s="320"/>
      <c r="K239" s="320"/>
      <c r="L239" s="320"/>
      <c r="M239" s="320"/>
      <c r="N239" s="320"/>
      <c r="O239" s="320"/>
      <c r="Q239" s="320"/>
      <c r="R239" s="320"/>
      <c r="S239" s="320"/>
      <c r="T239" s="320"/>
      <c r="U239" s="320"/>
      <c r="V239" s="320"/>
      <c r="W239" s="320"/>
    </row>
    <row r="240" spans="1:23" s="302" customFormat="1">
      <c r="A240" s="320"/>
      <c r="B240" s="320"/>
      <c r="C240" s="320"/>
      <c r="D240" s="320"/>
      <c r="E240" s="320"/>
      <c r="F240" s="320"/>
      <c r="G240" s="320"/>
      <c r="I240" s="320"/>
      <c r="J240" s="320"/>
      <c r="K240" s="320"/>
      <c r="L240" s="320"/>
      <c r="M240" s="320"/>
      <c r="N240" s="320"/>
      <c r="O240" s="320"/>
      <c r="Q240" s="320"/>
      <c r="R240" s="320"/>
      <c r="S240" s="320"/>
      <c r="T240" s="320"/>
      <c r="U240" s="320"/>
      <c r="V240" s="320"/>
      <c r="W240" s="320"/>
    </row>
    <row r="241" spans="1:23" s="302" customFormat="1">
      <c r="A241" s="320"/>
      <c r="B241" s="320"/>
      <c r="C241" s="320"/>
      <c r="D241" s="320"/>
      <c r="E241" s="320"/>
      <c r="F241" s="320"/>
      <c r="G241" s="320"/>
      <c r="I241" s="320"/>
      <c r="J241" s="320"/>
      <c r="K241" s="320"/>
      <c r="L241" s="320"/>
      <c r="M241" s="320"/>
      <c r="N241" s="320"/>
      <c r="O241" s="320"/>
      <c r="Q241" s="320"/>
      <c r="R241" s="320"/>
      <c r="S241" s="320"/>
      <c r="T241" s="320"/>
      <c r="U241" s="320"/>
      <c r="V241" s="320"/>
      <c r="W241" s="320"/>
    </row>
    <row r="242" spans="1:23" s="302" customFormat="1">
      <c r="A242" s="320"/>
      <c r="B242" s="320"/>
      <c r="C242" s="320"/>
      <c r="D242" s="320"/>
      <c r="E242" s="320"/>
      <c r="F242" s="320"/>
      <c r="G242" s="320"/>
      <c r="I242" s="320"/>
      <c r="J242" s="320"/>
      <c r="K242" s="320"/>
      <c r="L242" s="320"/>
      <c r="M242" s="320"/>
      <c r="N242" s="320"/>
      <c r="O242" s="320"/>
      <c r="Q242" s="320"/>
      <c r="R242" s="320"/>
      <c r="S242" s="320"/>
      <c r="T242" s="320"/>
      <c r="U242" s="320"/>
      <c r="V242" s="320"/>
      <c r="W242" s="320"/>
    </row>
    <row r="243" spans="1:23" s="302" customFormat="1">
      <c r="A243" s="358"/>
      <c r="C243" s="322"/>
      <c r="D243" s="322"/>
      <c r="E243" s="322"/>
      <c r="F243" s="322"/>
      <c r="G243" s="322"/>
      <c r="I243" s="322"/>
      <c r="J243" s="322"/>
      <c r="K243" s="322"/>
      <c r="L243" s="322"/>
      <c r="M243" s="322"/>
      <c r="Q243" s="322"/>
      <c r="R243" s="322"/>
      <c r="S243" s="322"/>
      <c r="T243" s="322"/>
      <c r="U243" s="322"/>
      <c r="V243" s="322"/>
      <c r="W243" s="322"/>
    </row>
    <row r="244" spans="1:23" s="302" customFormat="1">
      <c r="C244" s="322"/>
      <c r="D244" s="322"/>
      <c r="E244" s="322"/>
      <c r="F244" s="322"/>
      <c r="G244" s="322"/>
      <c r="I244" s="322"/>
      <c r="J244" s="322"/>
      <c r="K244" s="322"/>
      <c r="L244" s="322"/>
      <c r="M244" s="322"/>
      <c r="Q244" s="322"/>
      <c r="R244" s="322"/>
      <c r="S244" s="322"/>
      <c r="T244" s="322"/>
      <c r="U244" s="322"/>
      <c r="V244" s="322"/>
      <c r="W244" s="322"/>
    </row>
    <row r="245" spans="1:23" s="302" customFormat="1">
      <c r="I245" s="322"/>
      <c r="J245" s="322"/>
      <c r="K245" s="322"/>
      <c r="L245" s="322"/>
      <c r="M245" s="322"/>
      <c r="Q245" s="359"/>
      <c r="R245" s="359"/>
      <c r="S245" s="359"/>
      <c r="T245" s="359"/>
      <c r="U245" s="359"/>
      <c r="V245" s="359"/>
      <c r="W245" s="359"/>
    </row>
    <row r="246" spans="1:23" s="302" customFormat="1">
      <c r="I246" s="322"/>
      <c r="J246" s="322"/>
      <c r="K246" s="322"/>
      <c r="L246" s="322"/>
      <c r="M246" s="322"/>
      <c r="R246" s="277"/>
    </row>
    <row r="247" spans="1:23" s="302" customFormat="1">
      <c r="I247" s="322"/>
      <c r="J247" s="322"/>
      <c r="K247" s="322"/>
      <c r="L247" s="322"/>
      <c r="M247" s="322"/>
      <c r="R247" s="277"/>
    </row>
    <row r="248" spans="1:23" s="302" customFormat="1">
      <c r="I248" s="322"/>
      <c r="J248" s="322"/>
      <c r="K248" s="322"/>
      <c r="L248" s="322"/>
      <c r="M248" s="322"/>
      <c r="R248" s="277"/>
    </row>
    <row r="249" spans="1:23" s="302" customFormat="1">
      <c r="I249" s="322"/>
      <c r="J249" s="322"/>
      <c r="K249" s="322"/>
      <c r="L249" s="322"/>
      <c r="M249" s="322"/>
      <c r="R249" s="277"/>
    </row>
    <row r="250" spans="1:23" s="300" customFormat="1">
      <c r="A250" s="354" t="s">
        <v>175</v>
      </c>
      <c r="B250" s="355">
        <f>1+B200</f>
        <v>7</v>
      </c>
      <c r="C250" s="356"/>
      <c r="D250" s="356"/>
      <c r="E250" s="356"/>
      <c r="F250" s="356"/>
      <c r="G250" s="356"/>
      <c r="H250" s="359"/>
      <c r="I250" s="354"/>
      <c r="J250" s="355"/>
      <c r="K250" s="356"/>
      <c r="L250" s="356"/>
      <c r="M250" s="356"/>
      <c r="N250" s="356"/>
      <c r="O250" s="356"/>
      <c r="R250" s="299"/>
    </row>
    <row r="251" spans="1:23" s="300" customFormat="1" ht="12.75" customHeight="1">
      <c r="A251" s="442" t="s">
        <v>189</v>
      </c>
      <c r="B251" s="443"/>
      <c r="C251" s="443"/>
      <c r="D251" s="443"/>
      <c r="E251" s="443"/>
      <c r="F251" s="443"/>
      <c r="G251" s="444"/>
      <c r="H251" s="359"/>
      <c r="I251" s="322"/>
      <c r="J251" s="322"/>
      <c r="K251" s="322"/>
      <c r="L251" s="322"/>
      <c r="M251" s="322"/>
      <c r="N251" s="322"/>
      <c r="O251" s="322"/>
      <c r="R251" s="299"/>
    </row>
    <row r="252" spans="1:23" s="302" customFormat="1" ht="42.75" customHeight="1">
      <c r="A252" s="325" t="s">
        <v>452</v>
      </c>
      <c r="B252" s="325" t="s">
        <v>142</v>
      </c>
      <c r="C252" s="325" t="s">
        <v>34</v>
      </c>
      <c r="D252" s="325" t="s">
        <v>35</v>
      </c>
      <c r="E252" s="325" t="s">
        <v>20</v>
      </c>
      <c r="F252" s="325" t="s">
        <v>21</v>
      </c>
      <c r="G252" s="325" t="s">
        <v>22</v>
      </c>
      <c r="H252" s="322"/>
      <c r="I252" s="322"/>
      <c r="J252" s="322"/>
      <c r="K252" s="322"/>
      <c r="L252" s="322"/>
      <c r="M252" s="322"/>
      <c r="N252" s="322"/>
      <c r="O252" s="322"/>
      <c r="R252" s="277"/>
    </row>
    <row r="253" spans="1:23" s="302" customFormat="1">
      <c r="A253" s="320"/>
      <c r="B253" s="320"/>
      <c r="C253" s="320"/>
      <c r="D253" s="320"/>
      <c r="E253" s="320"/>
      <c r="F253" s="320"/>
      <c r="G253" s="320"/>
      <c r="H253" s="322"/>
      <c r="I253" s="322"/>
      <c r="J253" s="322"/>
      <c r="K253" s="322"/>
      <c r="L253" s="322"/>
      <c r="M253" s="322"/>
      <c r="N253" s="322"/>
      <c r="O253" s="322"/>
      <c r="R253" s="277"/>
    </row>
    <row r="254" spans="1:23" s="302" customFormat="1">
      <c r="A254" s="320"/>
      <c r="B254" s="320"/>
      <c r="C254" s="320"/>
      <c r="D254" s="320"/>
      <c r="E254" s="320"/>
      <c r="F254" s="320"/>
      <c r="G254" s="320"/>
      <c r="H254" s="322"/>
      <c r="I254" s="322"/>
      <c r="J254" s="322"/>
      <c r="K254" s="322"/>
      <c r="L254" s="322"/>
      <c r="M254" s="322"/>
      <c r="N254" s="322"/>
      <c r="O254" s="322"/>
      <c r="R254" s="277"/>
    </row>
    <row r="255" spans="1:23" s="302" customFormat="1">
      <c r="A255" s="320"/>
      <c r="B255" s="320"/>
      <c r="C255" s="320"/>
      <c r="D255" s="320"/>
      <c r="E255" s="320"/>
      <c r="F255" s="320"/>
      <c r="G255" s="320"/>
      <c r="H255" s="322"/>
      <c r="I255" s="322"/>
      <c r="J255" s="322"/>
      <c r="K255" s="322"/>
      <c r="L255" s="322"/>
      <c r="M255" s="322"/>
      <c r="N255" s="322"/>
      <c r="O255" s="322"/>
      <c r="R255" s="277"/>
    </row>
    <row r="256" spans="1:23" s="302" customFormat="1">
      <c r="A256" s="320"/>
      <c r="B256" s="320"/>
      <c r="C256" s="320"/>
      <c r="D256" s="320"/>
      <c r="E256" s="320"/>
      <c r="F256" s="320"/>
      <c r="G256" s="320"/>
      <c r="H256" s="322"/>
      <c r="I256" s="322"/>
      <c r="J256" s="322"/>
      <c r="K256" s="322"/>
      <c r="L256" s="322"/>
      <c r="M256" s="322"/>
      <c r="N256" s="322"/>
      <c r="O256" s="322"/>
      <c r="R256" s="277"/>
    </row>
    <row r="257" spans="1:18" s="302" customFormat="1">
      <c r="A257" s="320"/>
      <c r="B257" s="320"/>
      <c r="C257" s="320"/>
      <c r="D257" s="320"/>
      <c r="E257" s="320"/>
      <c r="F257" s="320"/>
      <c r="G257" s="320"/>
      <c r="H257" s="322"/>
      <c r="I257" s="322"/>
      <c r="J257" s="322"/>
      <c r="K257" s="322"/>
      <c r="L257" s="322"/>
      <c r="M257" s="322"/>
      <c r="N257" s="322"/>
      <c r="O257" s="322"/>
      <c r="R257" s="277"/>
    </row>
    <row r="258" spans="1:18" s="302" customFormat="1">
      <c r="A258" s="320"/>
      <c r="B258" s="320"/>
      <c r="C258" s="320"/>
      <c r="D258" s="320"/>
      <c r="E258" s="320"/>
      <c r="F258" s="320"/>
      <c r="G258" s="320"/>
      <c r="H258" s="322"/>
      <c r="I258" s="322"/>
      <c r="J258" s="322"/>
      <c r="K258" s="322"/>
      <c r="L258" s="322"/>
      <c r="M258" s="322"/>
      <c r="N258" s="322"/>
      <c r="O258" s="322"/>
      <c r="R258" s="277"/>
    </row>
    <row r="259" spans="1:18" s="302" customFormat="1">
      <c r="A259" s="320"/>
      <c r="B259" s="320"/>
      <c r="C259" s="320"/>
      <c r="D259" s="320"/>
      <c r="E259" s="320"/>
      <c r="F259" s="320"/>
      <c r="G259" s="320"/>
      <c r="H259" s="322"/>
      <c r="I259" s="322"/>
      <c r="J259" s="322"/>
      <c r="K259" s="322"/>
      <c r="L259" s="322"/>
      <c r="M259" s="322"/>
      <c r="N259" s="322"/>
      <c r="O259" s="322"/>
      <c r="R259" s="277"/>
    </row>
    <row r="260" spans="1:18" s="302" customFormat="1">
      <c r="A260" s="320"/>
      <c r="B260" s="320"/>
      <c r="C260" s="320"/>
      <c r="D260" s="320"/>
      <c r="E260" s="320"/>
      <c r="F260" s="320"/>
      <c r="G260" s="320"/>
      <c r="H260" s="322"/>
      <c r="I260" s="322"/>
      <c r="J260" s="322"/>
      <c r="K260" s="322"/>
      <c r="L260" s="322"/>
      <c r="M260" s="322"/>
      <c r="N260" s="322"/>
      <c r="O260" s="322"/>
      <c r="R260" s="277"/>
    </row>
    <row r="261" spans="1:18" s="302" customFormat="1">
      <c r="A261" s="320"/>
      <c r="B261" s="320"/>
      <c r="C261" s="320"/>
      <c r="D261" s="320"/>
      <c r="E261" s="320"/>
      <c r="F261" s="320"/>
      <c r="G261" s="320"/>
      <c r="H261" s="322"/>
      <c r="I261" s="322"/>
      <c r="J261" s="322"/>
      <c r="K261" s="322"/>
      <c r="L261" s="322"/>
      <c r="M261" s="322"/>
      <c r="N261" s="322"/>
      <c r="O261" s="322"/>
      <c r="R261" s="277"/>
    </row>
    <row r="262" spans="1:18" s="302" customFormat="1">
      <c r="A262" s="320"/>
      <c r="B262" s="320"/>
      <c r="C262" s="320"/>
      <c r="D262" s="320"/>
      <c r="E262" s="320"/>
      <c r="F262" s="320"/>
      <c r="G262" s="320"/>
      <c r="H262" s="322"/>
      <c r="I262" s="322"/>
      <c r="J262" s="322"/>
      <c r="K262" s="322"/>
      <c r="L262" s="322"/>
      <c r="M262" s="322"/>
      <c r="N262" s="322"/>
      <c r="O262" s="322"/>
      <c r="R262" s="277"/>
    </row>
    <row r="263" spans="1:18" s="302" customFormat="1">
      <c r="A263" s="320"/>
      <c r="B263" s="320"/>
      <c r="C263" s="320"/>
      <c r="D263" s="320"/>
      <c r="E263" s="320"/>
      <c r="F263" s="320"/>
      <c r="G263" s="320"/>
      <c r="H263" s="322"/>
      <c r="I263" s="322"/>
      <c r="J263" s="322"/>
      <c r="K263" s="322"/>
      <c r="L263" s="322"/>
      <c r="M263" s="322"/>
      <c r="N263" s="322"/>
      <c r="O263" s="322"/>
      <c r="R263" s="277"/>
    </row>
    <row r="264" spans="1:18" s="302" customFormat="1">
      <c r="A264" s="320"/>
      <c r="B264" s="320"/>
      <c r="C264" s="320"/>
      <c r="D264" s="320"/>
      <c r="E264" s="320"/>
      <c r="F264" s="320"/>
      <c r="G264" s="320"/>
      <c r="H264" s="322"/>
      <c r="I264" s="322"/>
      <c r="J264" s="322"/>
      <c r="K264" s="322"/>
      <c r="L264" s="322"/>
      <c r="M264" s="322"/>
      <c r="N264" s="322"/>
      <c r="O264" s="322"/>
      <c r="R264" s="277"/>
    </row>
    <row r="265" spans="1:18" s="302" customFormat="1">
      <c r="A265" s="320"/>
      <c r="B265" s="320"/>
      <c r="C265" s="320"/>
      <c r="D265" s="320"/>
      <c r="E265" s="320"/>
      <c r="F265" s="320"/>
      <c r="G265" s="320"/>
      <c r="H265" s="322"/>
      <c r="I265" s="322"/>
      <c r="J265" s="322"/>
      <c r="K265" s="322"/>
      <c r="L265" s="322"/>
      <c r="M265" s="322"/>
      <c r="N265" s="322"/>
      <c r="O265" s="322"/>
      <c r="R265" s="277"/>
    </row>
    <row r="266" spans="1:18" s="302" customFormat="1">
      <c r="A266" s="320"/>
      <c r="B266" s="320"/>
      <c r="C266" s="320"/>
      <c r="D266" s="320"/>
      <c r="E266" s="320"/>
      <c r="F266" s="320"/>
      <c r="G266" s="320"/>
      <c r="H266" s="322"/>
      <c r="I266" s="322"/>
      <c r="J266" s="322"/>
      <c r="K266" s="322"/>
      <c r="L266" s="322"/>
      <c r="M266" s="322"/>
      <c r="N266" s="322"/>
      <c r="O266" s="322"/>
      <c r="R266" s="277"/>
    </row>
    <row r="267" spans="1:18" s="302" customFormat="1">
      <c r="A267" s="320"/>
      <c r="B267" s="320"/>
      <c r="C267" s="320"/>
      <c r="D267" s="320"/>
      <c r="E267" s="320"/>
      <c r="F267" s="320"/>
      <c r="G267" s="320"/>
      <c r="H267" s="322"/>
      <c r="I267" s="322"/>
      <c r="J267" s="322"/>
      <c r="K267" s="322"/>
      <c r="L267" s="322"/>
      <c r="M267" s="322"/>
      <c r="N267" s="322"/>
      <c r="O267" s="322"/>
      <c r="R267" s="277"/>
    </row>
    <row r="268" spans="1:18" s="302" customFormat="1">
      <c r="A268" s="320"/>
      <c r="B268" s="320"/>
      <c r="C268" s="320"/>
      <c r="D268" s="320"/>
      <c r="E268" s="320"/>
      <c r="F268" s="320"/>
      <c r="G268" s="320"/>
      <c r="H268" s="322"/>
      <c r="I268" s="322"/>
      <c r="J268" s="322"/>
      <c r="K268" s="322"/>
      <c r="L268" s="322"/>
      <c r="M268" s="322"/>
      <c r="N268" s="322"/>
      <c r="O268" s="322"/>
      <c r="R268" s="277"/>
    </row>
    <row r="269" spans="1:18" s="302" customFormat="1">
      <c r="A269" s="320"/>
      <c r="B269" s="320"/>
      <c r="C269" s="320"/>
      <c r="D269" s="320"/>
      <c r="E269" s="320"/>
      <c r="F269" s="320"/>
      <c r="G269" s="320"/>
      <c r="H269" s="322"/>
      <c r="I269" s="322"/>
      <c r="J269" s="322"/>
      <c r="K269" s="322"/>
      <c r="L269" s="322"/>
      <c r="M269" s="322"/>
      <c r="N269" s="322"/>
      <c r="O269" s="322"/>
      <c r="R269" s="277"/>
    </row>
    <row r="270" spans="1:18" s="302" customFormat="1">
      <c r="A270" s="320"/>
      <c r="B270" s="320"/>
      <c r="C270" s="320"/>
      <c r="D270" s="320"/>
      <c r="E270" s="320"/>
      <c r="F270" s="320"/>
      <c r="G270" s="320"/>
      <c r="H270" s="322"/>
      <c r="I270" s="322"/>
      <c r="J270" s="322"/>
      <c r="K270" s="322"/>
      <c r="L270" s="322"/>
      <c r="M270" s="322"/>
      <c r="N270" s="322"/>
      <c r="O270" s="322"/>
      <c r="R270" s="277"/>
    </row>
    <row r="271" spans="1:18" s="302" customFormat="1">
      <c r="A271" s="320"/>
      <c r="B271" s="320"/>
      <c r="C271" s="320"/>
      <c r="D271" s="320"/>
      <c r="E271" s="320"/>
      <c r="F271" s="320"/>
      <c r="G271" s="320"/>
      <c r="H271" s="322"/>
      <c r="I271" s="322"/>
      <c r="J271" s="322"/>
      <c r="K271" s="322"/>
      <c r="L271" s="322"/>
      <c r="M271" s="322"/>
      <c r="N271" s="322"/>
      <c r="O271" s="322"/>
      <c r="R271" s="277"/>
    </row>
    <row r="272" spans="1:18" s="302" customFormat="1">
      <c r="A272" s="320"/>
      <c r="B272" s="320"/>
      <c r="C272" s="320"/>
      <c r="D272" s="320"/>
      <c r="E272" s="320"/>
      <c r="F272" s="320"/>
      <c r="G272" s="320"/>
      <c r="H272" s="322"/>
      <c r="I272" s="322"/>
      <c r="J272" s="322"/>
      <c r="K272" s="322"/>
      <c r="L272" s="322"/>
      <c r="M272" s="322"/>
      <c r="N272" s="322"/>
      <c r="O272" s="322"/>
      <c r="R272" s="277"/>
    </row>
    <row r="273" spans="1:18" s="302" customFormat="1">
      <c r="A273" s="320"/>
      <c r="B273" s="320"/>
      <c r="C273" s="320"/>
      <c r="D273" s="320"/>
      <c r="E273" s="320"/>
      <c r="F273" s="320"/>
      <c r="G273" s="320"/>
      <c r="H273" s="322"/>
      <c r="I273" s="322"/>
      <c r="J273" s="322"/>
      <c r="K273" s="322"/>
      <c r="L273" s="322"/>
      <c r="M273" s="322"/>
      <c r="N273" s="322"/>
      <c r="O273" s="322"/>
      <c r="R273" s="277"/>
    </row>
    <row r="274" spans="1:18" s="302" customFormat="1">
      <c r="A274" s="320"/>
      <c r="B274" s="320"/>
      <c r="C274" s="320"/>
      <c r="D274" s="320"/>
      <c r="E274" s="320"/>
      <c r="F274" s="320"/>
      <c r="G274" s="320"/>
      <c r="H274" s="322"/>
      <c r="I274" s="322"/>
      <c r="J274" s="322"/>
      <c r="K274" s="322"/>
      <c r="L274" s="322"/>
      <c r="M274" s="322"/>
      <c r="N274" s="322"/>
      <c r="O274" s="322"/>
      <c r="R274" s="277"/>
    </row>
    <row r="275" spans="1:18" s="302" customFormat="1">
      <c r="A275" s="320"/>
      <c r="B275" s="320"/>
      <c r="C275" s="320"/>
      <c r="D275" s="320"/>
      <c r="E275" s="320"/>
      <c r="F275" s="320"/>
      <c r="G275" s="320"/>
      <c r="H275" s="322"/>
      <c r="I275" s="322"/>
      <c r="J275" s="322"/>
      <c r="K275" s="322"/>
      <c r="L275" s="322"/>
      <c r="M275" s="322"/>
      <c r="N275" s="322"/>
      <c r="O275" s="322"/>
      <c r="R275" s="277"/>
    </row>
    <row r="276" spans="1:18" s="302" customFormat="1">
      <c r="A276" s="320"/>
      <c r="B276" s="320"/>
      <c r="C276" s="320"/>
      <c r="D276" s="320"/>
      <c r="E276" s="320"/>
      <c r="F276" s="320"/>
      <c r="G276" s="320"/>
      <c r="H276" s="322"/>
      <c r="I276" s="322"/>
      <c r="J276" s="322"/>
      <c r="K276" s="322"/>
      <c r="L276" s="322"/>
      <c r="M276" s="322"/>
      <c r="N276" s="322"/>
      <c r="O276" s="322"/>
      <c r="R276" s="277"/>
    </row>
    <row r="277" spans="1:18" s="302" customFormat="1">
      <c r="A277" s="320"/>
      <c r="B277" s="320"/>
      <c r="C277" s="320"/>
      <c r="D277" s="320"/>
      <c r="E277" s="320"/>
      <c r="F277" s="320"/>
      <c r="G277" s="320"/>
      <c r="H277" s="322"/>
      <c r="I277" s="322"/>
      <c r="J277" s="322"/>
      <c r="K277" s="322"/>
      <c r="L277" s="322"/>
      <c r="M277" s="322"/>
      <c r="N277" s="322"/>
      <c r="O277" s="322"/>
      <c r="R277" s="277"/>
    </row>
    <row r="278" spans="1:18" s="302" customFormat="1">
      <c r="A278" s="320"/>
      <c r="B278" s="320"/>
      <c r="C278" s="320"/>
      <c r="D278" s="320"/>
      <c r="E278" s="320"/>
      <c r="F278" s="320"/>
      <c r="G278" s="320"/>
      <c r="H278" s="322"/>
      <c r="I278" s="322"/>
      <c r="J278" s="322"/>
      <c r="K278" s="322"/>
      <c r="L278" s="322"/>
      <c r="M278" s="322"/>
      <c r="N278" s="322"/>
      <c r="O278" s="322"/>
      <c r="R278" s="277"/>
    </row>
    <row r="279" spans="1:18" s="302" customFormat="1">
      <c r="A279" s="320"/>
      <c r="B279" s="320"/>
      <c r="C279" s="320"/>
      <c r="D279" s="320"/>
      <c r="E279" s="320"/>
      <c r="F279" s="320"/>
      <c r="G279" s="320"/>
      <c r="H279" s="322"/>
      <c r="I279" s="322"/>
      <c r="J279" s="322"/>
      <c r="K279" s="322"/>
      <c r="L279" s="322"/>
      <c r="M279" s="322"/>
      <c r="N279" s="322"/>
      <c r="O279" s="322"/>
      <c r="R279" s="277"/>
    </row>
    <row r="280" spans="1:18" s="302" customFormat="1">
      <c r="A280" s="320"/>
      <c r="B280" s="320"/>
      <c r="C280" s="320"/>
      <c r="D280" s="320"/>
      <c r="E280" s="320"/>
      <c r="F280" s="320"/>
      <c r="G280" s="320"/>
      <c r="H280" s="322"/>
      <c r="I280" s="322"/>
      <c r="J280" s="322"/>
      <c r="K280" s="322"/>
      <c r="L280" s="322"/>
      <c r="M280" s="322"/>
      <c r="N280" s="322"/>
      <c r="O280" s="322"/>
      <c r="R280" s="277"/>
    </row>
    <row r="281" spans="1:18" s="302" customFormat="1">
      <c r="A281" s="320"/>
      <c r="B281" s="320"/>
      <c r="C281" s="320"/>
      <c r="D281" s="320"/>
      <c r="E281" s="320"/>
      <c r="F281" s="320"/>
      <c r="G281" s="320"/>
      <c r="H281" s="322"/>
      <c r="I281" s="322"/>
      <c r="J281" s="322"/>
      <c r="K281" s="322"/>
      <c r="L281" s="322"/>
      <c r="M281" s="322"/>
      <c r="N281" s="322"/>
      <c r="O281" s="322"/>
      <c r="R281" s="277"/>
    </row>
    <row r="282" spans="1:18" s="302" customFormat="1">
      <c r="A282" s="320"/>
      <c r="B282" s="320"/>
      <c r="C282" s="320"/>
      <c r="D282" s="320"/>
      <c r="E282" s="320"/>
      <c r="F282" s="320"/>
      <c r="G282" s="320"/>
      <c r="H282" s="322"/>
      <c r="I282" s="322"/>
      <c r="J282" s="322"/>
      <c r="K282" s="322"/>
      <c r="L282" s="322"/>
      <c r="M282" s="322"/>
      <c r="N282" s="322"/>
      <c r="O282" s="322"/>
      <c r="R282" s="277"/>
    </row>
    <row r="283" spans="1:18" s="302" customFormat="1">
      <c r="A283" s="320"/>
      <c r="B283" s="320"/>
      <c r="C283" s="320"/>
      <c r="D283" s="320"/>
      <c r="E283" s="320"/>
      <c r="F283" s="320"/>
      <c r="G283" s="320"/>
      <c r="H283" s="322"/>
      <c r="I283" s="322"/>
      <c r="J283" s="322"/>
      <c r="K283" s="322"/>
      <c r="L283" s="322"/>
      <c r="M283" s="322"/>
      <c r="N283" s="322"/>
      <c r="O283" s="322"/>
      <c r="R283" s="277"/>
    </row>
    <row r="284" spans="1:18" s="302" customFormat="1">
      <c r="A284" s="320"/>
      <c r="B284" s="320"/>
      <c r="C284" s="320"/>
      <c r="D284" s="320"/>
      <c r="E284" s="320"/>
      <c r="F284" s="320"/>
      <c r="G284" s="320"/>
      <c r="H284" s="322"/>
      <c r="I284" s="322"/>
      <c r="J284" s="322"/>
      <c r="K284" s="322"/>
      <c r="L284" s="322"/>
      <c r="M284" s="322"/>
      <c r="N284" s="322"/>
      <c r="O284" s="322"/>
      <c r="R284" s="277"/>
    </row>
    <row r="285" spans="1:18" s="302" customFormat="1">
      <c r="A285" s="320"/>
      <c r="B285" s="320"/>
      <c r="C285" s="320"/>
      <c r="D285" s="320"/>
      <c r="E285" s="320"/>
      <c r="F285" s="320"/>
      <c r="G285" s="320"/>
      <c r="H285" s="322"/>
      <c r="I285" s="322"/>
      <c r="J285" s="322"/>
      <c r="K285" s="322"/>
      <c r="L285" s="322"/>
      <c r="M285" s="322"/>
      <c r="N285" s="322"/>
      <c r="O285" s="322"/>
      <c r="R285" s="277"/>
    </row>
    <row r="286" spans="1:18" s="302" customFormat="1">
      <c r="A286" s="320"/>
      <c r="B286" s="320"/>
      <c r="C286" s="320"/>
      <c r="D286" s="320"/>
      <c r="E286" s="320"/>
      <c r="F286" s="320"/>
      <c r="G286" s="320"/>
      <c r="H286" s="322"/>
      <c r="I286" s="322"/>
      <c r="J286" s="322"/>
      <c r="K286" s="322"/>
      <c r="L286" s="322"/>
      <c r="M286" s="322"/>
      <c r="N286" s="322"/>
      <c r="O286" s="322"/>
      <c r="R286" s="277"/>
    </row>
    <row r="287" spans="1:18" s="302" customFormat="1">
      <c r="A287" s="320"/>
      <c r="B287" s="320"/>
      <c r="C287" s="320"/>
      <c r="D287" s="320"/>
      <c r="E287" s="320"/>
      <c r="F287" s="320"/>
      <c r="G287" s="320"/>
      <c r="H287" s="322"/>
      <c r="I287" s="322"/>
      <c r="J287" s="322"/>
      <c r="K287" s="322"/>
      <c r="L287" s="322"/>
      <c r="M287" s="322"/>
      <c r="N287" s="322"/>
      <c r="O287" s="322"/>
      <c r="R287" s="277"/>
    </row>
    <row r="288" spans="1:18" s="302" customFormat="1">
      <c r="A288" s="320"/>
      <c r="B288" s="320"/>
      <c r="C288" s="320"/>
      <c r="D288" s="320"/>
      <c r="E288" s="320"/>
      <c r="F288" s="320"/>
      <c r="G288" s="320"/>
      <c r="H288" s="322"/>
      <c r="I288" s="322"/>
      <c r="J288" s="322"/>
      <c r="K288" s="322"/>
      <c r="L288" s="322"/>
      <c r="M288" s="322"/>
      <c r="N288" s="322"/>
      <c r="O288" s="322"/>
      <c r="R288" s="277"/>
    </row>
    <row r="289" spans="1:25" s="302" customFormat="1">
      <c r="A289" s="320"/>
      <c r="B289" s="320"/>
      <c r="C289" s="320"/>
      <c r="D289" s="320"/>
      <c r="E289" s="320"/>
      <c r="F289" s="320"/>
      <c r="G289" s="320"/>
      <c r="H289" s="322"/>
      <c r="I289" s="322"/>
      <c r="J289" s="322"/>
      <c r="K289" s="322"/>
      <c r="L289" s="322"/>
      <c r="M289" s="322"/>
      <c r="N289" s="322"/>
      <c r="O289" s="322"/>
      <c r="R289" s="277"/>
    </row>
    <row r="290" spans="1:25" s="302" customFormat="1">
      <c r="A290" s="320"/>
      <c r="B290" s="320"/>
      <c r="C290" s="320"/>
      <c r="D290" s="320"/>
      <c r="E290" s="320"/>
      <c r="F290" s="320"/>
      <c r="G290" s="320"/>
      <c r="H290" s="322"/>
      <c r="I290" s="322"/>
      <c r="J290" s="322"/>
      <c r="K290" s="322"/>
      <c r="L290" s="322"/>
      <c r="M290" s="322"/>
      <c r="N290" s="322"/>
      <c r="O290" s="322"/>
      <c r="R290" s="277"/>
    </row>
    <row r="291" spans="1:25" s="302" customFormat="1">
      <c r="A291" s="320"/>
      <c r="B291" s="320"/>
      <c r="C291" s="320"/>
      <c r="D291" s="320"/>
      <c r="E291" s="320"/>
      <c r="F291" s="320"/>
      <c r="G291" s="320"/>
      <c r="H291" s="322"/>
      <c r="I291" s="322"/>
      <c r="J291" s="322"/>
      <c r="K291" s="322"/>
      <c r="L291" s="322"/>
      <c r="M291" s="322"/>
      <c r="N291" s="322"/>
      <c r="O291" s="322"/>
      <c r="R291" s="277"/>
    </row>
    <row r="292" spans="1:25" s="302" customFormat="1">
      <c r="A292" s="320"/>
      <c r="B292" s="320"/>
      <c r="C292" s="320"/>
      <c r="D292" s="320"/>
      <c r="E292" s="320"/>
      <c r="F292" s="320"/>
      <c r="G292" s="320"/>
      <c r="H292" s="322"/>
      <c r="I292" s="322"/>
      <c r="J292" s="322"/>
      <c r="K292" s="322"/>
      <c r="L292" s="322"/>
      <c r="M292" s="322"/>
      <c r="N292" s="322"/>
      <c r="O292" s="322"/>
      <c r="P292" s="322"/>
      <c r="Q292" s="322"/>
      <c r="R292" s="360"/>
      <c r="S292" s="322"/>
      <c r="T292" s="322"/>
      <c r="U292" s="322"/>
      <c r="V292" s="322"/>
      <c r="W292" s="322"/>
      <c r="X292" s="322"/>
      <c r="Y292" s="322"/>
    </row>
    <row r="293" spans="1:25" s="302" customFormat="1">
      <c r="A293" s="361" t="s">
        <v>38</v>
      </c>
      <c r="C293" s="322"/>
      <c r="D293" s="322"/>
      <c r="E293" s="322"/>
      <c r="F293" s="322"/>
      <c r="G293" s="322"/>
      <c r="H293" s="322"/>
      <c r="I293" s="322"/>
      <c r="J293" s="322"/>
      <c r="K293" s="322"/>
      <c r="L293" s="322"/>
      <c r="M293" s="322"/>
      <c r="N293" s="322"/>
      <c r="O293" s="322"/>
      <c r="P293" s="322"/>
      <c r="Q293" s="322"/>
      <c r="R293" s="360"/>
      <c r="S293" s="322"/>
      <c r="T293" s="322"/>
      <c r="U293" s="322"/>
      <c r="V293" s="322"/>
      <c r="W293" s="322"/>
      <c r="X293" s="322"/>
      <c r="Y293" s="322"/>
    </row>
    <row r="294" spans="1:25" s="302" customFormat="1">
      <c r="A294" s="361"/>
      <c r="C294" s="322"/>
      <c r="D294" s="322"/>
      <c r="E294" s="322"/>
      <c r="F294" s="322"/>
      <c r="G294" s="322"/>
      <c r="H294" s="322"/>
      <c r="I294" s="322"/>
      <c r="J294" s="322"/>
      <c r="K294" s="322"/>
      <c r="L294" s="322"/>
      <c r="M294" s="322"/>
      <c r="N294" s="322"/>
      <c r="O294" s="322"/>
      <c r="P294" s="322"/>
      <c r="Q294" s="322"/>
      <c r="R294" s="360"/>
      <c r="S294" s="322"/>
      <c r="T294" s="322"/>
      <c r="U294" s="322"/>
      <c r="V294" s="322"/>
      <c r="W294" s="322"/>
      <c r="X294" s="322"/>
      <c r="Y294" s="322"/>
    </row>
    <row r="295" spans="1:25" s="302" customFormat="1">
      <c r="A295" s="361"/>
      <c r="C295" s="322"/>
      <c r="D295" s="322"/>
      <c r="E295" s="322"/>
      <c r="F295" s="322"/>
      <c r="G295" s="322"/>
      <c r="H295" s="322"/>
      <c r="I295" s="322"/>
      <c r="J295" s="322"/>
      <c r="K295" s="322"/>
      <c r="L295" s="322"/>
      <c r="M295" s="322"/>
      <c r="N295" s="322"/>
      <c r="O295" s="322"/>
      <c r="P295" s="322"/>
      <c r="Q295" s="322"/>
      <c r="R295" s="360"/>
      <c r="S295" s="322"/>
      <c r="T295" s="322"/>
      <c r="U295" s="322"/>
      <c r="V295" s="322"/>
      <c r="W295" s="322"/>
      <c r="X295" s="322"/>
      <c r="Y295" s="322"/>
    </row>
    <row r="296" spans="1:25" s="302" customFormat="1">
      <c r="A296" s="361"/>
      <c r="C296" s="322"/>
      <c r="D296" s="322"/>
      <c r="E296" s="322"/>
      <c r="F296" s="322"/>
      <c r="G296" s="322"/>
      <c r="H296" s="322"/>
      <c r="I296" s="322"/>
      <c r="J296" s="322"/>
      <c r="K296" s="322"/>
      <c r="L296" s="322"/>
      <c r="M296" s="322"/>
      <c r="N296" s="322"/>
      <c r="O296" s="322"/>
      <c r="P296" s="322"/>
      <c r="Q296" s="322"/>
      <c r="R296" s="360"/>
      <c r="S296" s="322"/>
      <c r="T296" s="322"/>
      <c r="U296" s="322"/>
      <c r="V296" s="322"/>
      <c r="W296" s="322"/>
      <c r="X296" s="322"/>
      <c r="Y296" s="322"/>
    </row>
    <row r="297" spans="1:25" s="302" customFormat="1">
      <c r="A297" s="361"/>
      <c r="C297" s="322"/>
      <c r="D297" s="322"/>
      <c r="E297" s="322"/>
      <c r="F297" s="322"/>
      <c r="G297" s="322"/>
      <c r="H297" s="322"/>
      <c r="I297" s="322"/>
      <c r="J297" s="322"/>
      <c r="K297" s="322"/>
      <c r="L297" s="322"/>
      <c r="M297" s="322"/>
      <c r="N297" s="322"/>
      <c r="O297" s="322"/>
      <c r="P297" s="322"/>
      <c r="Q297" s="322"/>
      <c r="R297" s="360"/>
      <c r="S297" s="322"/>
      <c r="T297" s="322"/>
      <c r="U297" s="322"/>
      <c r="V297" s="322"/>
      <c r="W297" s="322"/>
      <c r="X297" s="322"/>
      <c r="Y297" s="322"/>
    </row>
    <row r="298" spans="1:25" s="302" customFormat="1">
      <c r="C298" s="322"/>
      <c r="D298" s="322"/>
      <c r="E298" s="322"/>
      <c r="F298" s="322"/>
      <c r="G298" s="322"/>
      <c r="H298" s="322"/>
      <c r="I298" s="322"/>
      <c r="J298" s="322"/>
      <c r="K298" s="322"/>
      <c r="L298" s="322"/>
      <c r="M298" s="322"/>
      <c r="N298" s="322"/>
      <c r="O298" s="322"/>
      <c r="P298" s="322"/>
      <c r="Q298" s="322"/>
      <c r="R298" s="360"/>
      <c r="S298" s="322"/>
      <c r="T298" s="322"/>
      <c r="U298" s="322"/>
      <c r="V298" s="322"/>
      <c r="W298" s="322"/>
      <c r="X298" s="322"/>
      <c r="Y298" s="322"/>
    </row>
    <row r="299" spans="1:25" s="302" customFormat="1">
      <c r="C299" s="322"/>
      <c r="D299" s="322"/>
      <c r="E299" s="322"/>
      <c r="F299" s="322"/>
      <c r="G299" s="322"/>
      <c r="H299" s="322"/>
      <c r="I299" s="322"/>
      <c r="J299" s="322"/>
      <c r="K299" s="322"/>
      <c r="L299" s="322"/>
      <c r="M299" s="322"/>
      <c r="N299" s="322"/>
      <c r="O299" s="322"/>
      <c r="P299" s="322"/>
      <c r="Q299" s="322"/>
      <c r="R299" s="360"/>
      <c r="S299" s="322"/>
      <c r="T299" s="322"/>
      <c r="U299" s="322"/>
      <c r="V299" s="322"/>
      <c r="W299" s="322"/>
      <c r="X299" s="322"/>
      <c r="Y299" s="322"/>
    </row>
    <row r="300" spans="1:25" s="300" customFormat="1">
      <c r="A300" s="354" t="s">
        <v>175</v>
      </c>
      <c r="B300" s="355">
        <f>1+B250</f>
        <v>8</v>
      </c>
      <c r="C300" s="359"/>
      <c r="D300" s="359"/>
      <c r="E300" s="359"/>
      <c r="F300" s="359"/>
      <c r="G300" s="359"/>
      <c r="H300" s="359"/>
      <c r="I300" s="359"/>
      <c r="J300" s="359"/>
      <c r="K300" s="359"/>
      <c r="L300" s="359"/>
      <c r="M300" s="359"/>
      <c r="N300" s="359"/>
      <c r="O300" s="359"/>
      <c r="P300" s="359"/>
      <c r="Q300" s="359"/>
      <c r="R300" s="362"/>
      <c r="S300" s="359"/>
      <c r="T300" s="359"/>
      <c r="U300" s="359"/>
      <c r="V300" s="359"/>
      <c r="W300" s="359"/>
      <c r="X300" s="359"/>
      <c r="Y300" s="359"/>
    </row>
    <row r="301" spans="1:25" s="300" customFormat="1" ht="12.75" customHeight="1">
      <c r="A301" s="442" t="s">
        <v>237</v>
      </c>
      <c r="B301" s="454"/>
      <c r="C301" s="454"/>
      <c r="D301" s="454"/>
      <c r="E301" s="454"/>
      <c r="F301" s="454"/>
      <c r="G301" s="455"/>
      <c r="H301" s="359"/>
      <c r="I301" s="439" t="s">
        <v>459</v>
      </c>
      <c r="J301" s="440"/>
      <c r="K301" s="440"/>
      <c r="L301" s="440"/>
      <c r="M301" s="440"/>
      <c r="N301" s="440"/>
      <c r="O301" s="441"/>
      <c r="P301" s="359"/>
      <c r="Q301" s="359"/>
      <c r="R301" s="362"/>
      <c r="S301" s="359"/>
      <c r="T301" s="359"/>
      <c r="U301" s="359"/>
      <c r="V301" s="359"/>
      <c r="W301" s="359"/>
      <c r="X301" s="359"/>
      <c r="Y301" s="359"/>
    </row>
    <row r="302" spans="1:25" s="302" customFormat="1">
      <c r="A302" s="325" t="s">
        <v>452</v>
      </c>
      <c r="B302" s="325" t="s">
        <v>142</v>
      </c>
      <c r="C302" s="363" t="s">
        <v>61</v>
      </c>
      <c r="D302" s="363" t="s">
        <v>62</v>
      </c>
      <c r="E302" s="363" t="s">
        <v>20</v>
      </c>
      <c r="F302" s="363" t="s">
        <v>21</v>
      </c>
      <c r="G302" s="363" t="s">
        <v>22</v>
      </c>
      <c r="H302" s="322"/>
      <c r="I302" s="325" t="s">
        <v>452</v>
      </c>
      <c r="J302" s="325" t="s">
        <v>142</v>
      </c>
      <c r="K302" s="325" t="s">
        <v>34</v>
      </c>
      <c r="L302" s="325" t="s">
        <v>35</v>
      </c>
      <c r="M302" s="325" t="s">
        <v>20</v>
      </c>
      <c r="N302" s="325" t="s">
        <v>21</v>
      </c>
      <c r="O302" s="325" t="s">
        <v>22</v>
      </c>
      <c r="P302" s="322"/>
      <c r="Q302" s="322"/>
      <c r="R302" s="360"/>
      <c r="S302" s="322"/>
      <c r="T302" s="322"/>
      <c r="U302" s="322"/>
      <c r="V302" s="322"/>
      <c r="W302" s="322"/>
      <c r="X302" s="322"/>
      <c r="Y302" s="322"/>
    </row>
    <row r="303" spans="1:25" s="302" customFormat="1">
      <c r="A303" s="320"/>
      <c r="B303" s="320"/>
      <c r="C303" s="320"/>
      <c r="D303" s="320"/>
      <c r="E303" s="320"/>
      <c r="F303" s="320"/>
      <c r="G303" s="320"/>
      <c r="H303" s="322"/>
      <c r="I303" s="320"/>
      <c r="J303" s="320"/>
      <c r="K303" s="320"/>
      <c r="L303" s="320"/>
      <c r="M303" s="320"/>
      <c r="N303" s="320"/>
      <c r="O303" s="320"/>
      <c r="P303" s="322"/>
      <c r="Q303" s="322"/>
      <c r="R303" s="360"/>
      <c r="S303" s="322"/>
      <c r="T303" s="322"/>
      <c r="U303" s="322"/>
      <c r="V303" s="322"/>
      <c r="W303" s="322"/>
      <c r="X303" s="322"/>
      <c r="Y303" s="322"/>
    </row>
    <row r="304" spans="1:25" s="302" customFormat="1">
      <c r="A304" s="320"/>
      <c r="B304" s="320"/>
      <c r="C304" s="320"/>
      <c r="D304" s="320"/>
      <c r="E304" s="320"/>
      <c r="F304" s="320"/>
      <c r="G304" s="320"/>
      <c r="H304" s="322"/>
      <c r="I304" s="320"/>
      <c r="J304" s="320"/>
      <c r="K304" s="320"/>
      <c r="L304" s="320"/>
      <c r="M304" s="320"/>
      <c r="N304" s="320"/>
      <c r="O304" s="320"/>
      <c r="P304" s="322"/>
      <c r="Q304" s="322"/>
      <c r="R304" s="360"/>
      <c r="S304" s="322"/>
      <c r="T304" s="322"/>
      <c r="U304" s="322"/>
      <c r="V304" s="322"/>
      <c r="W304" s="322"/>
      <c r="X304" s="322"/>
      <c r="Y304" s="322"/>
    </row>
    <row r="305" spans="1:25" s="302" customFormat="1">
      <c r="A305" s="320"/>
      <c r="B305" s="320"/>
      <c r="C305" s="320"/>
      <c r="D305" s="320"/>
      <c r="E305" s="320"/>
      <c r="F305" s="320"/>
      <c r="G305" s="320"/>
      <c r="H305" s="322"/>
      <c r="I305" s="320"/>
      <c r="J305" s="320"/>
      <c r="K305" s="320"/>
      <c r="L305" s="320"/>
      <c r="M305" s="320"/>
      <c r="N305" s="320"/>
      <c r="O305" s="320"/>
      <c r="P305" s="322"/>
      <c r="Q305" s="322"/>
      <c r="R305" s="360"/>
      <c r="S305" s="322"/>
      <c r="T305" s="322"/>
      <c r="U305" s="322"/>
      <c r="V305" s="322"/>
      <c r="W305" s="322"/>
      <c r="X305" s="322"/>
      <c r="Y305" s="322"/>
    </row>
    <row r="306" spans="1:25" s="302" customFormat="1">
      <c r="A306" s="320"/>
      <c r="B306" s="320"/>
      <c r="C306" s="320"/>
      <c r="D306" s="320"/>
      <c r="E306" s="320"/>
      <c r="F306" s="320"/>
      <c r="G306" s="320"/>
      <c r="H306" s="322"/>
      <c r="I306" s="320"/>
      <c r="J306" s="320"/>
      <c r="K306" s="320"/>
      <c r="L306" s="320"/>
      <c r="M306" s="320"/>
      <c r="N306" s="320"/>
      <c r="O306" s="320"/>
      <c r="P306" s="322"/>
      <c r="Q306" s="322"/>
      <c r="R306" s="360"/>
      <c r="S306" s="322"/>
      <c r="T306" s="322"/>
      <c r="U306" s="322"/>
      <c r="V306" s="322"/>
      <c r="W306" s="322"/>
      <c r="X306" s="322"/>
      <c r="Y306" s="322"/>
    </row>
    <row r="307" spans="1:25" s="302" customFormat="1">
      <c r="A307" s="320"/>
      <c r="B307" s="320"/>
      <c r="C307" s="320"/>
      <c r="D307" s="320"/>
      <c r="E307" s="320"/>
      <c r="F307" s="320"/>
      <c r="G307" s="320"/>
      <c r="H307" s="322"/>
      <c r="I307" s="320"/>
      <c r="J307" s="320"/>
      <c r="K307" s="320"/>
      <c r="L307" s="320"/>
      <c r="M307" s="320"/>
      <c r="N307" s="320"/>
      <c r="O307" s="320"/>
      <c r="P307" s="322"/>
      <c r="Q307" s="322"/>
      <c r="R307" s="360"/>
      <c r="S307" s="322"/>
      <c r="T307" s="322"/>
      <c r="U307" s="322"/>
      <c r="V307" s="322"/>
      <c r="W307" s="322"/>
      <c r="X307" s="322"/>
      <c r="Y307" s="322"/>
    </row>
    <row r="308" spans="1:25" s="302" customFormat="1">
      <c r="A308" s="320"/>
      <c r="B308" s="320"/>
      <c r="C308" s="320"/>
      <c r="D308" s="320"/>
      <c r="E308" s="320"/>
      <c r="F308" s="320"/>
      <c r="G308" s="320"/>
      <c r="H308" s="322"/>
      <c r="I308" s="320"/>
      <c r="J308" s="320"/>
      <c r="K308" s="320"/>
      <c r="L308" s="320"/>
      <c r="M308" s="320"/>
      <c r="N308" s="320"/>
      <c r="O308" s="320"/>
      <c r="P308" s="322"/>
      <c r="Q308" s="322"/>
      <c r="R308" s="360"/>
      <c r="S308" s="322"/>
      <c r="T308" s="322"/>
      <c r="U308" s="322"/>
      <c r="V308" s="322"/>
      <c r="W308" s="322"/>
      <c r="X308" s="322"/>
      <c r="Y308" s="322"/>
    </row>
    <row r="309" spans="1:25" s="302" customFormat="1">
      <c r="A309" s="320"/>
      <c r="B309" s="320"/>
      <c r="C309" s="320"/>
      <c r="D309" s="320"/>
      <c r="E309" s="320"/>
      <c r="F309" s="320"/>
      <c r="G309" s="320"/>
      <c r="H309" s="322"/>
      <c r="I309" s="320"/>
      <c r="J309" s="320"/>
      <c r="K309" s="320"/>
      <c r="L309" s="320"/>
      <c r="M309" s="320"/>
      <c r="N309" s="320"/>
      <c r="O309" s="320"/>
      <c r="P309" s="322"/>
      <c r="Q309" s="322"/>
      <c r="R309" s="360"/>
      <c r="S309" s="322"/>
      <c r="T309" s="322"/>
      <c r="U309" s="322"/>
      <c r="V309" s="322"/>
      <c r="W309" s="322"/>
      <c r="X309" s="322"/>
      <c r="Y309" s="322"/>
    </row>
    <row r="310" spans="1:25" s="302" customFormat="1">
      <c r="A310" s="320"/>
      <c r="B310" s="320"/>
      <c r="C310" s="320"/>
      <c r="D310" s="320"/>
      <c r="E310" s="320"/>
      <c r="F310" s="320"/>
      <c r="G310" s="320"/>
      <c r="H310" s="322"/>
      <c r="I310" s="320"/>
      <c r="J310" s="320"/>
      <c r="K310" s="320"/>
      <c r="L310" s="320"/>
      <c r="M310" s="320"/>
      <c r="N310" s="320"/>
      <c r="O310" s="320"/>
      <c r="P310" s="322"/>
      <c r="Q310" s="322"/>
      <c r="R310" s="360"/>
      <c r="S310" s="322"/>
      <c r="T310" s="322"/>
      <c r="U310" s="322"/>
      <c r="V310" s="322"/>
      <c r="W310" s="322"/>
      <c r="X310" s="322"/>
      <c r="Y310" s="322"/>
    </row>
    <row r="311" spans="1:25" s="302" customFormat="1">
      <c r="A311" s="320"/>
      <c r="B311" s="320"/>
      <c r="C311" s="320"/>
      <c r="D311" s="320"/>
      <c r="E311" s="320"/>
      <c r="F311" s="320"/>
      <c r="G311" s="320"/>
      <c r="H311" s="322"/>
      <c r="I311" s="320"/>
      <c r="J311" s="320"/>
      <c r="K311" s="320"/>
      <c r="L311" s="320"/>
      <c r="M311" s="320"/>
      <c r="N311" s="320"/>
      <c r="O311" s="320"/>
      <c r="P311" s="322"/>
      <c r="Q311" s="322"/>
      <c r="R311" s="360"/>
      <c r="S311" s="322"/>
      <c r="T311" s="322"/>
      <c r="U311" s="322"/>
      <c r="V311" s="322"/>
      <c r="W311" s="322"/>
      <c r="X311" s="322"/>
      <c r="Y311" s="322"/>
    </row>
    <row r="312" spans="1:25" s="302" customFormat="1">
      <c r="A312" s="320"/>
      <c r="B312" s="320"/>
      <c r="C312" s="320"/>
      <c r="D312" s="320"/>
      <c r="E312" s="320"/>
      <c r="F312" s="320"/>
      <c r="G312" s="320"/>
      <c r="H312" s="322"/>
      <c r="I312" s="320"/>
      <c r="J312" s="320"/>
      <c r="K312" s="320"/>
      <c r="L312" s="320"/>
      <c r="M312" s="320"/>
      <c r="N312" s="320"/>
      <c r="O312" s="320"/>
      <c r="P312" s="322"/>
      <c r="Q312" s="322"/>
      <c r="R312" s="360"/>
      <c r="S312" s="322"/>
      <c r="T312" s="322"/>
      <c r="U312" s="322"/>
      <c r="V312" s="322"/>
      <c r="W312" s="322"/>
      <c r="X312" s="322"/>
      <c r="Y312" s="322"/>
    </row>
    <row r="313" spans="1:25" s="302" customFormat="1">
      <c r="A313" s="320"/>
      <c r="B313" s="320"/>
      <c r="C313" s="320"/>
      <c r="D313" s="320"/>
      <c r="E313" s="320"/>
      <c r="F313" s="320"/>
      <c r="G313" s="320"/>
      <c r="H313" s="322"/>
      <c r="I313" s="320"/>
      <c r="J313" s="320"/>
      <c r="K313" s="320"/>
      <c r="L313" s="320"/>
      <c r="M313" s="320"/>
      <c r="N313" s="320"/>
      <c r="O313" s="320"/>
      <c r="P313" s="322"/>
      <c r="Q313" s="322"/>
      <c r="R313" s="360"/>
      <c r="S313" s="322"/>
      <c r="T313" s="322"/>
      <c r="U313" s="322"/>
      <c r="V313" s="322"/>
      <c r="W313" s="322"/>
      <c r="X313" s="322"/>
      <c r="Y313" s="322"/>
    </row>
    <row r="314" spans="1:25" s="302" customFormat="1">
      <c r="A314" s="320"/>
      <c r="B314" s="320"/>
      <c r="C314" s="320"/>
      <c r="D314" s="320"/>
      <c r="E314" s="320"/>
      <c r="F314" s="320"/>
      <c r="G314" s="320"/>
      <c r="H314" s="322"/>
      <c r="I314" s="320"/>
      <c r="J314" s="320"/>
      <c r="K314" s="320"/>
      <c r="L314" s="320"/>
      <c r="M314" s="320"/>
      <c r="N314" s="320"/>
      <c r="O314" s="320"/>
      <c r="P314" s="322"/>
      <c r="Q314" s="322"/>
      <c r="R314" s="360"/>
      <c r="S314" s="322"/>
      <c r="T314" s="322"/>
      <c r="U314" s="322"/>
      <c r="V314" s="322"/>
      <c r="W314" s="322"/>
      <c r="X314" s="322"/>
      <c r="Y314" s="322"/>
    </row>
    <row r="315" spans="1:25" s="302" customFormat="1">
      <c r="A315" s="320"/>
      <c r="B315" s="320"/>
      <c r="C315" s="320"/>
      <c r="D315" s="320"/>
      <c r="E315" s="320"/>
      <c r="F315" s="320"/>
      <c r="G315" s="320"/>
      <c r="H315" s="322"/>
      <c r="I315" s="320"/>
      <c r="J315" s="320"/>
      <c r="K315" s="320"/>
      <c r="L315" s="320"/>
      <c r="M315" s="320"/>
      <c r="N315" s="320"/>
      <c r="O315" s="320"/>
      <c r="P315" s="322"/>
      <c r="Q315" s="322"/>
      <c r="R315" s="360"/>
      <c r="S315" s="322"/>
      <c r="T315" s="322"/>
      <c r="U315" s="322"/>
      <c r="V315" s="322"/>
      <c r="W315" s="322"/>
      <c r="X315" s="322"/>
      <c r="Y315" s="322"/>
    </row>
    <row r="316" spans="1:25" s="302" customFormat="1">
      <c r="A316" s="320"/>
      <c r="B316" s="320"/>
      <c r="C316" s="320"/>
      <c r="D316" s="320"/>
      <c r="E316" s="320"/>
      <c r="F316" s="320"/>
      <c r="G316" s="320"/>
      <c r="H316" s="322"/>
      <c r="I316" s="320"/>
      <c r="J316" s="320"/>
      <c r="K316" s="320"/>
      <c r="L316" s="320"/>
      <c r="M316" s="320"/>
      <c r="N316" s="320"/>
      <c r="O316" s="320"/>
      <c r="P316" s="322"/>
      <c r="Q316" s="322"/>
      <c r="R316" s="360"/>
      <c r="S316" s="322"/>
      <c r="T316" s="322"/>
      <c r="U316" s="322"/>
      <c r="V316" s="322"/>
      <c r="W316" s="322"/>
      <c r="X316" s="322"/>
      <c r="Y316" s="322"/>
    </row>
    <row r="317" spans="1:25" s="302" customFormat="1">
      <c r="A317" s="320"/>
      <c r="B317" s="320"/>
      <c r="C317" s="320"/>
      <c r="D317" s="320"/>
      <c r="E317" s="320"/>
      <c r="F317" s="320"/>
      <c r="G317" s="320"/>
      <c r="H317" s="322"/>
      <c r="I317" s="320"/>
      <c r="J317" s="320"/>
      <c r="K317" s="320"/>
      <c r="L317" s="320"/>
      <c r="M317" s="320"/>
      <c r="N317" s="320"/>
      <c r="O317" s="320"/>
      <c r="P317" s="322"/>
      <c r="Q317" s="322"/>
      <c r="R317" s="360"/>
      <c r="S317" s="322"/>
      <c r="T317" s="322"/>
      <c r="U317" s="322"/>
      <c r="V317" s="322"/>
      <c r="W317" s="322"/>
      <c r="X317" s="322"/>
      <c r="Y317" s="322"/>
    </row>
    <row r="318" spans="1:25" s="302" customFormat="1">
      <c r="A318" s="320"/>
      <c r="B318" s="320"/>
      <c r="C318" s="320"/>
      <c r="D318" s="320"/>
      <c r="E318" s="320"/>
      <c r="F318" s="320"/>
      <c r="G318" s="320"/>
      <c r="H318" s="322"/>
      <c r="I318" s="320"/>
      <c r="J318" s="320"/>
      <c r="K318" s="320"/>
      <c r="L318" s="320"/>
      <c r="M318" s="320"/>
      <c r="N318" s="320"/>
      <c r="O318" s="320"/>
      <c r="P318" s="322"/>
      <c r="Q318" s="322"/>
      <c r="R318" s="360"/>
      <c r="S318" s="322"/>
      <c r="T318" s="322"/>
      <c r="U318" s="322"/>
      <c r="V318" s="322"/>
      <c r="W318" s="322"/>
      <c r="X318" s="322"/>
      <c r="Y318" s="322"/>
    </row>
    <row r="319" spans="1:25" s="302" customFormat="1">
      <c r="A319" s="320"/>
      <c r="B319" s="320"/>
      <c r="C319" s="320"/>
      <c r="D319" s="320"/>
      <c r="E319" s="320"/>
      <c r="F319" s="320"/>
      <c r="G319" s="320"/>
      <c r="H319" s="322"/>
      <c r="I319" s="320"/>
      <c r="J319" s="320"/>
      <c r="K319" s="320"/>
      <c r="L319" s="320"/>
      <c r="M319" s="320"/>
      <c r="N319" s="320"/>
      <c r="O319" s="320"/>
      <c r="P319" s="322"/>
      <c r="Q319" s="322"/>
      <c r="R319" s="360"/>
      <c r="S319" s="322"/>
      <c r="T319" s="322"/>
      <c r="U319" s="322"/>
      <c r="V319" s="322"/>
      <c r="W319" s="322"/>
      <c r="X319" s="322"/>
      <c r="Y319" s="322"/>
    </row>
    <row r="320" spans="1:25" s="302" customFormat="1">
      <c r="A320" s="320"/>
      <c r="B320" s="320"/>
      <c r="C320" s="320"/>
      <c r="D320" s="320"/>
      <c r="E320" s="320"/>
      <c r="F320" s="320"/>
      <c r="G320" s="320"/>
      <c r="H320" s="322"/>
      <c r="I320" s="320"/>
      <c r="J320" s="320"/>
      <c r="K320" s="320"/>
      <c r="L320" s="320"/>
      <c r="M320" s="320"/>
      <c r="N320" s="320"/>
      <c r="O320" s="320"/>
      <c r="P320" s="322"/>
      <c r="Q320" s="322"/>
      <c r="R320" s="360"/>
      <c r="S320" s="322"/>
      <c r="T320" s="322"/>
      <c r="U320" s="322"/>
      <c r="V320" s="322"/>
      <c r="W320" s="322"/>
      <c r="X320" s="322"/>
      <c r="Y320" s="322"/>
    </row>
    <row r="321" spans="1:25" s="302" customFormat="1">
      <c r="A321" s="320"/>
      <c r="B321" s="320"/>
      <c r="C321" s="320"/>
      <c r="D321" s="320"/>
      <c r="E321" s="320"/>
      <c r="F321" s="320"/>
      <c r="G321" s="320"/>
      <c r="H321" s="322"/>
      <c r="I321" s="320"/>
      <c r="J321" s="320"/>
      <c r="K321" s="320"/>
      <c r="L321" s="320"/>
      <c r="M321" s="320"/>
      <c r="N321" s="320"/>
      <c r="O321" s="320"/>
      <c r="P321" s="322"/>
      <c r="Q321" s="322"/>
      <c r="R321" s="360"/>
      <c r="S321" s="322"/>
      <c r="T321" s="322"/>
      <c r="U321" s="322"/>
      <c r="V321" s="322"/>
      <c r="W321" s="322"/>
      <c r="X321" s="322"/>
      <c r="Y321" s="322"/>
    </row>
    <row r="322" spans="1:25" s="302" customFormat="1">
      <c r="A322" s="320"/>
      <c r="B322" s="320"/>
      <c r="C322" s="320"/>
      <c r="D322" s="320"/>
      <c r="E322" s="320"/>
      <c r="F322" s="320"/>
      <c r="G322" s="320"/>
      <c r="H322" s="322"/>
      <c r="I322" s="320"/>
      <c r="J322" s="320"/>
      <c r="K322" s="320"/>
      <c r="L322" s="320"/>
      <c r="M322" s="320"/>
      <c r="N322" s="320"/>
      <c r="O322" s="320"/>
      <c r="P322" s="322"/>
      <c r="Q322" s="322"/>
      <c r="R322" s="360"/>
      <c r="S322" s="322"/>
      <c r="T322" s="322"/>
      <c r="U322" s="322"/>
      <c r="V322" s="322"/>
      <c r="W322" s="322"/>
      <c r="X322" s="322"/>
      <c r="Y322" s="322"/>
    </row>
    <row r="323" spans="1:25" s="302" customFormat="1">
      <c r="A323" s="320"/>
      <c r="B323" s="320"/>
      <c r="C323" s="320"/>
      <c r="D323" s="320"/>
      <c r="E323" s="320"/>
      <c r="F323" s="320"/>
      <c r="G323" s="320"/>
      <c r="H323" s="322"/>
      <c r="I323" s="320"/>
      <c r="J323" s="320"/>
      <c r="K323" s="320"/>
      <c r="L323" s="320"/>
      <c r="M323" s="320"/>
      <c r="N323" s="320"/>
      <c r="O323" s="320"/>
      <c r="P323" s="322"/>
      <c r="Q323" s="322"/>
      <c r="R323" s="360"/>
      <c r="S323" s="322"/>
      <c r="T323" s="322"/>
      <c r="U323" s="322"/>
      <c r="V323" s="322"/>
      <c r="W323" s="322"/>
      <c r="X323" s="322"/>
      <c r="Y323" s="322"/>
    </row>
    <row r="324" spans="1:25" s="302" customFormat="1">
      <c r="A324" s="320"/>
      <c r="B324" s="320"/>
      <c r="C324" s="320"/>
      <c r="D324" s="320"/>
      <c r="E324" s="320"/>
      <c r="F324" s="320"/>
      <c r="G324" s="320"/>
      <c r="H324" s="322"/>
      <c r="I324" s="320"/>
      <c r="J324" s="320"/>
      <c r="K324" s="320"/>
      <c r="L324" s="320"/>
      <c r="M324" s="320"/>
      <c r="N324" s="320"/>
      <c r="O324" s="320"/>
      <c r="P324" s="322"/>
      <c r="Q324" s="322"/>
      <c r="R324" s="360"/>
      <c r="S324" s="322"/>
      <c r="T324" s="322"/>
      <c r="U324" s="322"/>
      <c r="V324" s="322"/>
      <c r="W324" s="322"/>
      <c r="X324" s="322"/>
      <c r="Y324" s="322"/>
    </row>
    <row r="325" spans="1:25" s="302" customFormat="1">
      <c r="A325" s="320"/>
      <c r="B325" s="320"/>
      <c r="C325" s="320"/>
      <c r="D325" s="320"/>
      <c r="E325" s="320"/>
      <c r="F325" s="320"/>
      <c r="G325" s="320"/>
      <c r="H325" s="322"/>
      <c r="I325" s="320"/>
      <c r="J325" s="320"/>
      <c r="K325" s="320"/>
      <c r="L325" s="320"/>
      <c r="M325" s="320"/>
      <c r="N325" s="320"/>
      <c r="O325" s="320"/>
      <c r="P325" s="322"/>
      <c r="Q325" s="322"/>
      <c r="R325" s="360"/>
      <c r="S325" s="322"/>
      <c r="T325" s="322"/>
      <c r="U325" s="322"/>
      <c r="V325" s="322"/>
      <c r="W325" s="322"/>
      <c r="X325" s="322"/>
      <c r="Y325" s="322"/>
    </row>
    <row r="326" spans="1:25" s="302" customFormat="1">
      <c r="A326" s="320"/>
      <c r="B326" s="320"/>
      <c r="C326" s="320"/>
      <c r="D326" s="320"/>
      <c r="E326" s="320"/>
      <c r="F326" s="320"/>
      <c r="G326" s="320"/>
      <c r="H326" s="322"/>
      <c r="I326" s="320"/>
      <c r="J326" s="320"/>
      <c r="K326" s="320"/>
      <c r="L326" s="320"/>
      <c r="M326" s="320"/>
      <c r="N326" s="320"/>
      <c r="O326" s="320"/>
      <c r="P326" s="322"/>
      <c r="Q326" s="322"/>
      <c r="R326" s="360"/>
      <c r="S326" s="322"/>
      <c r="T326" s="322"/>
      <c r="U326" s="322"/>
      <c r="V326" s="322"/>
      <c r="W326" s="322"/>
      <c r="X326" s="322"/>
      <c r="Y326" s="322"/>
    </row>
    <row r="327" spans="1:25" s="302" customFormat="1">
      <c r="A327" s="320"/>
      <c r="B327" s="320"/>
      <c r="C327" s="320"/>
      <c r="D327" s="320"/>
      <c r="E327" s="320"/>
      <c r="F327" s="320"/>
      <c r="G327" s="320"/>
      <c r="H327" s="322"/>
      <c r="I327" s="320"/>
      <c r="J327" s="320"/>
      <c r="K327" s="320"/>
      <c r="L327" s="320"/>
      <c r="M327" s="320"/>
      <c r="N327" s="320"/>
      <c r="O327" s="320"/>
      <c r="P327" s="322"/>
      <c r="Q327" s="322"/>
      <c r="R327" s="360"/>
      <c r="S327" s="322"/>
      <c r="T327" s="322"/>
      <c r="U327" s="322"/>
      <c r="V327" s="322"/>
      <c r="W327" s="322"/>
      <c r="X327" s="322"/>
      <c r="Y327" s="322"/>
    </row>
    <row r="328" spans="1:25" s="302" customFormat="1">
      <c r="A328" s="320"/>
      <c r="B328" s="320"/>
      <c r="C328" s="320"/>
      <c r="D328" s="320"/>
      <c r="E328" s="320"/>
      <c r="F328" s="320"/>
      <c r="G328" s="320"/>
      <c r="H328" s="322"/>
      <c r="I328" s="320"/>
      <c r="J328" s="320"/>
      <c r="K328" s="320"/>
      <c r="L328" s="320"/>
      <c r="M328" s="320"/>
      <c r="N328" s="320"/>
      <c r="O328" s="320"/>
      <c r="P328" s="322"/>
      <c r="Q328" s="322"/>
      <c r="R328" s="360"/>
      <c r="S328" s="322"/>
      <c r="T328" s="322"/>
      <c r="U328" s="322"/>
      <c r="V328" s="322"/>
      <c r="W328" s="322"/>
      <c r="X328" s="322"/>
      <c r="Y328" s="322"/>
    </row>
    <row r="329" spans="1:25" s="302" customFormat="1">
      <c r="A329" s="320"/>
      <c r="B329" s="320"/>
      <c r="C329" s="320"/>
      <c r="D329" s="320"/>
      <c r="E329" s="320"/>
      <c r="F329" s="320"/>
      <c r="G329" s="320"/>
      <c r="H329" s="322"/>
      <c r="I329" s="320"/>
      <c r="J329" s="320"/>
      <c r="K329" s="320"/>
      <c r="L329" s="320"/>
      <c r="M329" s="320"/>
      <c r="N329" s="320"/>
      <c r="O329" s="320"/>
      <c r="P329" s="322"/>
      <c r="Q329" s="322"/>
      <c r="R329" s="360"/>
      <c r="S329" s="322"/>
      <c r="T329" s="322"/>
      <c r="U329" s="322"/>
      <c r="V329" s="322"/>
      <c r="W329" s="322"/>
      <c r="X329" s="322"/>
      <c r="Y329" s="322"/>
    </row>
    <row r="330" spans="1:25" s="302" customFormat="1">
      <c r="A330" s="320"/>
      <c r="B330" s="320"/>
      <c r="C330" s="320"/>
      <c r="D330" s="320"/>
      <c r="E330" s="320"/>
      <c r="F330" s="320"/>
      <c r="G330" s="320"/>
      <c r="H330" s="322"/>
      <c r="I330" s="320"/>
      <c r="J330" s="320"/>
      <c r="K330" s="320"/>
      <c r="L330" s="320"/>
      <c r="M330" s="320"/>
      <c r="N330" s="320"/>
      <c r="O330" s="320"/>
      <c r="P330" s="322"/>
      <c r="Q330" s="322"/>
      <c r="R330" s="360"/>
      <c r="S330" s="322"/>
      <c r="T330" s="322"/>
      <c r="U330" s="322"/>
      <c r="V330" s="322"/>
      <c r="W330" s="322"/>
      <c r="X330" s="322"/>
      <c r="Y330" s="322"/>
    </row>
    <row r="331" spans="1:25" s="302" customFormat="1">
      <c r="A331" s="320"/>
      <c r="B331" s="320"/>
      <c r="C331" s="320"/>
      <c r="D331" s="320"/>
      <c r="E331" s="320"/>
      <c r="F331" s="320"/>
      <c r="G331" s="320"/>
      <c r="H331" s="322"/>
      <c r="I331" s="320"/>
      <c r="J331" s="320"/>
      <c r="K331" s="320"/>
      <c r="L331" s="320"/>
      <c r="M331" s="320"/>
      <c r="N331" s="320"/>
      <c r="O331" s="320"/>
      <c r="P331" s="322"/>
      <c r="Q331" s="322"/>
      <c r="R331" s="360"/>
      <c r="S331" s="322"/>
      <c r="T331" s="322"/>
      <c r="U331" s="322"/>
      <c r="V331" s="322"/>
      <c r="W331" s="322"/>
      <c r="X331" s="322"/>
      <c r="Y331" s="322"/>
    </row>
    <row r="332" spans="1:25" s="302" customFormat="1">
      <c r="A332" s="320"/>
      <c r="B332" s="320"/>
      <c r="C332" s="320"/>
      <c r="D332" s="320"/>
      <c r="E332" s="320"/>
      <c r="F332" s="320"/>
      <c r="G332" s="320"/>
      <c r="H332" s="322"/>
      <c r="I332" s="320"/>
      <c r="J332" s="320"/>
      <c r="K332" s="320"/>
      <c r="L332" s="320"/>
      <c r="M332" s="320"/>
      <c r="N332" s="320"/>
      <c r="O332" s="320"/>
      <c r="P332" s="322"/>
      <c r="Q332" s="322"/>
      <c r="R332" s="360"/>
      <c r="S332" s="322"/>
      <c r="T332" s="322"/>
      <c r="U332" s="322"/>
      <c r="V332" s="322"/>
      <c r="W332" s="322"/>
      <c r="X332" s="322"/>
      <c r="Y332" s="322"/>
    </row>
    <row r="333" spans="1:25" s="302" customFormat="1">
      <c r="A333" s="320"/>
      <c r="B333" s="320"/>
      <c r="C333" s="320"/>
      <c r="D333" s="320"/>
      <c r="E333" s="320"/>
      <c r="F333" s="320"/>
      <c r="G333" s="320"/>
      <c r="H333" s="322"/>
      <c r="I333" s="320"/>
      <c r="J333" s="320"/>
      <c r="K333" s="320"/>
      <c r="L333" s="320"/>
      <c r="M333" s="320"/>
      <c r="N333" s="320"/>
      <c r="O333" s="320"/>
      <c r="P333" s="322"/>
      <c r="Q333" s="322"/>
      <c r="R333" s="360"/>
      <c r="S333" s="322"/>
      <c r="T333" s="322"/>
      <c r="U333" s="322"/>
      <c r="V333" s="322"/>
      <c r="W333" s="322"/>
      <c r="X333" s="322"/>
      <c r="Y333" s="322"/>
    </row>
    <row r="334" spans="1:25" s="302" customFormat="1">
      <c r="A334" s="320"/>
      <c r="B334" s="320"/>
      <c r="C334" s="320"/>
      <c r="D334" s="320"/>
      <c r="E334" s="320"/>
      <c r="F334" s="320"/>
      <c r="G334" s="320"/>
      <c r="H334" s="322"/>
      <c r="I334" s="320"/>
      <c r="J334" s="320"/>
      <c r="K334" s="320"/>
      <c r="L334" s="320"/>
      <c r="M334" s="320"/>
      <c r="N334" s="320"/>
      <c r="O334" s="320"/>
      <c r="P334" s="322"/>
      <c r="Q334" s="322"/>
      <c r="R334" s="360"/>
      <c r="S334" s="322"/>
      <c r="T334" s="322"/>
      <c r="U334" s="322"/>
      <c r="V334" s="322"/>
      <c r="W334" s="322"/>
      <c r="X334" s="322"/>
      <c r="Y334" s="322"/>
    </row>
    <row r="335" spans="1:25" s="302" customFormat="1">
      <c r="A335" s="320"/>
      <c r="B335" s="320"/>
      <c r="C335" s="320"/>
      <c r="D335" s="320"/>
      <c r="E335" s="320"/>
      <c r="F335" s="320"/>
      <c r="G335" s="320"/>
      <c r="H335" s="322"/>
      <c r="I335" s="320"/>
      <c r="J335" s="320"/>
      <c r="K335" s="320"/>
      <c r="L335" s="320"/>
      <c r="M335" s="320"/>
      <c r="N335" s="320"/>
      <c r="O335" s="320"/>
      <c r="P335" s="322"/>
      <c r="Q335" s="322"/>
      <c r="R335" s="360"/>
      <c r="S335" s="322"/>
      <c r="T335" s="322"/>
      <c r="U335" s="322"/>
      <c r="V335" s="322"/>
      <c r="W335" s="322"/>
      <c r="X335" s="322"/>
      <c r="Y335" s="322"/>
    </row>
    <row r="336" spans="1:25" s="302" customFormat="1">
      <c r="A336" s="320"/>
      <c r="B336" s="320"/>
      <c r="C336" s="320"/>
      <c r="D336" s="320"/>
      <c r="E336" s="320"/>
      <c r="F336" s="320"/>
      <c r="G336" s="320"/>
      <c r="H336" s="322"/>
      <c r="I336" s="320"/>
      <c r="J336" s="320"/>
      <c r="K336" s="320"/>
      <c r="L336" s="320"/>
      <c r="M336" s="320"/>
      <c r="N336" s="320"/>
      <c r="O336" s="320"/>
      <c r="P336" s="322"/>
      <c r="Q336" s="322"/>
      <c r="R336" s="360"/>
      <c r="S336" s="322"/>
      <c r="T336" s="322"/>
      <c r="U336" s="322"/>
      <c r="V336" s="322"/>
      <c r="W336" s="322"/>
      <c r="X336" s="322"/>
      <c r="Y336" s="322"/>
    </row>
    <row r="337" spans="1:25" s="302" customFormat="1">
      <c r="A337" s="319"/>
      <c r="B337" s="364"/>
      <c r="C337" s="320"/>
      <c r="D337" s="320"/>
      <c r="E337" s="320"/>
      <c r="F337" s="320"/>
      <c r="G337" s="320"/>
      <c r="H337" s="322"/>
      <c r="I337" s="320"/>
      <c r="J337" s="320"/>
      <c r="K337" s="320"/>
      <c r="L337" s="320"/>
      <c r="M337" s="320"/>
      <c r="N337" s="320"/>
      <c r="O337" s="320"/>
      <c r="P337" s="322"/>
      <c r="Q337" s="322"/>
      <c r="R337" s="360"/>
      <c r="S337" s="322"/>
      <c r="T337" s="322"/>
      <c r="U337" s="322"/>
      <c r="V337" s="322"/>
      <c r="W337" s="322"/>
      <c r="X337" s="322"/>
      <c r="Y337" s="322"/>
    </row>
    <row r="338" spans="1:25" s="302" customFormat="1">
      <c r="A338" s="319"/>
      <c r="B338" s="364"/>
      <c r="C338" s="320"/>
      <c r="D338" s="320"/>
      <c r="E338" s="320"/>
      <c r="F338" s="320"/>
      <c r="G338" s="320"/>
      <c r="H338" s="322"/>
      <c r="I338" s="320"/>
      <c r="J338" s="320"/>
      <c r="K338" s="320"/>
      <c r="L338" s="320"/>
      <c r="M338" s="320"/>
      <c r="N338" s="320"/>
      <c r="O338" s="320"/>
      <c r="P338" s="322"/>
      <c r="Q338" s="322"/>
      <c r="R338" s="360"/>
      <c r="S338" s="322"/>
      <c r="T338" s="322"/>
      <c r="U338" s="322"/>
      <c r="V338" s="322"/>
      <c r="W338" s="322"/>
      <c r="X338" s="322"/>
      <c r="Y338" s="322"/>
    </row>
    <row r="339" spans="1:25" s="302" customFormat="1">
      <c r="A339" s="319"/>
      <c r="B339" s="364"/>
      <c r="C339" s="320"/>
      <c r="D339" s="320"/>
      <c r="E339" s="320"/>
      <c r="F339" s="320"/>
      <c r="G339" s="320"/>
      <c r="H339" s="322"/>
      <c r="I339" s="320"/>
      <c r="J339" s="320"/>
      <c r="K339" s="320"/>
      <c r="L339" s="320"/>
      <c r="M339" s="320"/>
      <c r="N339" s="320"/>
      <c r="O339" s="320"/>
      <c r="P339" s="322"/>
      <c r="Q339" s="322"/>
      <c r="R339" s="360"/>
      <c r="S339" s="322"/>
      <c r="T339" s="322"/>
      <c r="U339" s="322"/>
      <c r="V339" s="322"/>
      <c r="W339" s="322"/>
      <c r="X339" s="322"/>
      <c r="Y339" s="322"/>
    </row>
    <row r="340" spans="1:25" s="302" customFormat="1">
      <c r="A340" s="319"/>
      <c r="B340" s="364"/>
      <c r="C340" s="320"/>
      <c r="D340" s="320"/>
      <c r="E340" s="320"/>
      <c r="F340" s="320"/>
      <c r="G340" s="320"/>
      <c r="H340" s="322"/>
      <c r="I340" s="320"/>
      <c r="J340" s="320"/>
      <c r="K340" s="320"/>
      <c r="L340" s="320"/>
      <c r="M340" s="320"/>
      <c r="N340" s="320"/>
      <c r="O340" s="320"/>
      <c r="P340" s="322"/>
      <c r="Q340" s="322"/>
      <c r="R340" s="360"/>
      <c r="S340" s="322"/>
      <c r="T340" s="322"/>
      <c r="U340" s="322"/>
      <c r="V340" s="322"/>
      <c r="W340" s="322"/>
      <c r="X340" s="322"/>
      <c r="Y340" s="322"/>
    </row>
    <row r="341" spans="1:25" s="302" customFormat="1">
      <c r="A341" s="319"/>
      <c r="B341" s="364"/>
      <c r="C341" s="320"/>
      <c r="D341" s="320"/>
      <c r="E341" s="320"/>
      <c r="F341" s="320"/>
      <c r="G341" s="320"/>
      <c r="H341" s="322"/>
      <c r="I341" s="320"/>
      <c r="J341" s="320"/>
      <c r="K341" s="320"/>
      <c r="L341" s="320"/>
      <c r="M341" s="320"/>
      <c r="N341" s="320"/>
      <c r="O341" s="320"/>
      <c r="P341" s="322"/>
      <c r="Q341" s="322"/>
      <c r="R341" s="360"/>
      <c r="S341" s="322"/>
      <c r="T341" s="322"/>
      <c r="U341" s="322"/>
      <c r="V341" s="322"/>
      <c r="W341" s="322"/>
      <c r="X341" s="322"/>
      <c r="Y341" s="322"/>
    </row>
    <row r="342" spans="1:25" s="302" customFormat="1">
      <c r="A342" s="319"/>
      <c r="B342" s="364"/>
      <c r="C342" s="320"/>
      <c r="D342" s="320"/>
      <c r="E342" s="320"/>
      <c r="F342" s="320"/>
      <c r="G342" s="320"/>
      <c r="H342" s="322"/>
      <c r="I342" s="320"/>
      <c r="J342" s="320"/>
      <c r="K342" s="320"/>
      <c r="L342" s="320"/>
      <c r="M342" s="320"/>
      <c r="N342" s="320"/>
      <c r="O342" s="320"/>
      <c r="P342" s="322"/>
      <c r="Q342" s="322"/>
      <c r="R342" s="360"/>
      <c r="S342" s="322"/>
      <c r="T342" s="322"/>
      <c r="U342" s="322"/>
      <c r="V342" s="322"/>
      <c r="W342" s="322"/>
      <c r="X342" s="322"/>
      <c r="Y342" s="322"/>
    </row>
    <row r="343" spans="1:25" s="302" customFormat="1">
      <c r="E343" s="322"/>
      <c r="F343" s="322"/>
      <c r="G343" s="322"/>
      <c r="H343" s="322"/>
      <c r="I343" s="322"/>
      <c r="J343" s="322"/>
      <c r="K343" s="322"/>
      <c r="L343" s="322"/>
      <c r="M343" s="322"/>
      <c r="N343" s="322"/>
      <c r="O343" s="322"/>
      <c r="P343" s="322"/>
      <c r="Q343" s="322"/>
      <c r="R343" s="360"/>
      <c r="S343" s="322"/>
      <c r="T343" s="322"/>
      <c r="U343" s="322"/>
      <c r="V343" s="322"/>
      <c r="W343" s="322"/>
      <c r="X343" s="322"/>
      <c r="Y343" s="322"/>
    </row>
    <row r="344" spans="1:25" s="302" customFormat="1">
      <c r="E344" s="322"/>
      <c r="F344" s="322"/>
      <c r="G344" s="322"/>
      <c r="H344" s="322"/>
      <c r="I344" s="322"/>
      <c r="J344" s="322"/>
      <c r="K344" s="322"/>
      <c r="L344" s="322"/>
      <c r="M344" s="322"/>
      <c r="N344" s="322"/>
      <c r="O344" s="322"/>
      <c r="P344" s="322"/>
      <c r="Q344" s="322"/>
      <c r="R344" s="360"/>
      <c r="S344" s="322"/>
      <c r="T344" s="322"/>
      <c r="U344" s="322"/>
      <c r="V344" s="322"/>
      <c r="W344" s="322"/>
      <c r="X344" s="322"/>
      <c r="Y344" s="322"/>
    </row>
    <row r="345" spans="1:25" s="302" customFormat="1">
      <c r="E345" s="322"/>
      <c r="F345" s="322"/>
      <c r="G345" s="322"/>
      <c r="H345" s="322"/>
      <c r="I345" s="359"/>
      <c r="J345" s="359"/>
      <c r="K345" s="359"/>
      <c r="L345" s="359"/>
      <c r="M345" s="359"/>
      <c r="N345" s="359"/>
      <c r="O345" s="359"/>
      <c r="P345" s="322"/>
      <c r="Q345" s="322"/>
      <c r="R345" s="360"/>
      <c r="S345" s="322"/>
      <c r="T345" s="322"/>
      <c r="U345" s="322"/>
      <c r="V345" s="322"/>
      <c r="W345" s="322"/>
      <c r="X345" s="322"/>
      <c r="Y345" s="322"/>
    </row>
    <row r="346" spans="1:25" s="302" customFormat="1">
      <c r="F346" s="322"/>
      <c r="G346" s="322"/>
      <c r="H346" s="322"/>
      <c r="I346" s="359"/>
      <c r="J346" s="359"/>
      <c r="K346" s="359"/>
      <c r="L346" s="359"/>
      <c r="M346" s="359"/>
      <c r="N346" s="359"/>
      <c r="O346" s="359"/>
      <c r="P346" s="322"/>
      <c r="Q346" s="322"/>
      <c r="R346" s="360"/>
      <c r="S346" s="322"/>
      <c r="T346" s="322"/>
      <c r="U346" s="322"/>
      <c r="V346" s="322"/>
      <c r="W346" s="322"/>
      <c r="X346" s="322"/>
      <c r="Y346" s="322"/>
    </row>
    <row r="347" spans="1:25" s="302" customFormat="1">
      <c r="E347" s="322"/>
      <c r="F347" s="322"/>
      <c r="G347" s="322"/>
      <c r="H347" s="322"/>
      <c r="I347" s="322"/>
      <c r="J347" s="322"/>
      <c r="K347" s="322"/>
      <c r="L347" s="322"/>
      <c r="M347" s="322"/>
      <c r="N347" s="322"/>
      <c r="O347" s="322"/>
      <c r="P347" s="322"/>
      <c r="Q347" s="322"/>
      <c r="R347" s="360"/>
      <c r="S347" s="322"/>
      <c r="T347" s="322"/>
      <c r="U347" s="322"/>
      <c r="V347" s="322"/>
      <c r="W347" s="322"/>
      <c r="X347" s="322"/>
      <c r="Y347" s="322"/>
    </row>
    <row r="348" spans="1:25" s="302" customFormat="1">
      <c r="E348" s="322"/>
      <c r="F348" s="322"/>
      <c r="G348" s="322"/>
      <c r="H348" s="322"/>
      <c r="I348" s="322"/>
      <c r="J348" s="322"/>
      <c r="K348" s="322"/>
      <c r="L348" s="322"/>
      <c r="M348" s="322"/>
      <c r="N348" s="322"/>
      <c r="O348" s="322"/>
      <c r="P348" s="322"/>
      <c r="Q348" s="322"/>
      <c r="R348" s="360"/>
      <c r="S348" s="322"/>
      <c r="T348" s="322"/>
      <c r="U348" s="322"/>
      <c r="V348" s="322"/>
      <c r="W348" s="322"/>
      <c r="X348" s="322"/>
      <c r="Y348" s="322"/>
    </row>
    <row r="349" spans="1:25" s="302" customFormat="1">
      <c r="E349" s="322"/>
      <c r="F349" s="322"/>
      <c r="G349" s="322"/>
      <c r="H349" s="322"/>
      <c r="I349" s="322"/>
      <c r="J349" s="322"/>
      <c r="K349" s="322"/>
      <c r="L349" s="322"/>
      <c r="M349" s="322"/>
      <c r="N349" s="322"/>
      <c r="O349" s="322"/>
      <c r="P349" s="322"/>
      <c r="Q349" s="322"/>
      <c r="R349" s="360"/>
      <c r="S349" s="322"/>
      <c r="T349" s="322"/>
      <c r="U349" s="322"/>
      <c r="V349" s="322"/>
      <c r="W349" s="322"/>
      <c r="X349" s="322"/>
      <c r="Y349" s="322"/>
    </row>
    <row r="350" spans="1:25" s="300" customFormat="1">
      <c r="A350" s="354" t="s">
        <v>175</v>
      </c>
      <c r="B350" s="355">
        <f>1+B300</f>
        <v>9</v>
      </c>
      <c r="E350" s="359"/>
      <c r="F350" s="359"/>
      <c r="G350" s="359"/>
      <c r="H350" s="359"/>
      <c r="I350" s="322"/>
      <c r="J350" s="322"/>
      <c r="K350" s="322"/>
      <c r="L350" s="322"/>
      <c r="M350" s="322"/>
      <c r="N350" s="322"/>
      <c r="O350" s="322"/>
      <c r="P350" s="359"/>
      <c r="Q350" s="359"/>
      <c r="R350" s="362"/>
      <c r="S350" s="359"/>
      <c r="T350" s="359"/>
      <c r="U350" s="359"/>
      <c r="V350" s="359"/>
      <c r="W350" s="359"/>
      <c r="X350" s="359"/>
      <c r="Y350" s="359"/>
    </row>
    <row r="351" spans="1:25" s="300" customFormat="1" ht="12.75" customHeight="1">
      <c r="A351" s="442" t="s">
        <v>190</v>
      </c>
      <c r="B351" s="454"/>
      <c r="C351" s="454"/>
      <c r="D351" s="454"/>
      <c r="E351" s="454"/>
      <c r="F351" s="454"/>
      <c r="G351" s="455"/>
      <c r="H351" s="359"/>
      <c r="I351" s="322"/>
      <c r="J351" s="322"/>
      <c r="K351" s="322"/>
      <c r="L351" s="322"/>
      <c r="M351" s="322"/>
      <c r="N351" s="322"/>
      <c r="O351" s="302"/>
      <c r="P351" s="359"/>
      <c r="Q351" s="359"/>
      <c r="R351" s="362"/>
      <c r="S351" s="359"/>
      <c r="T351" s="359"/>
      <c r="U351" s="359"/>
      <c r="V351" s="359"/>
      <c r="W351" s="359"/>
      <c r="X351" s="359"/>
      <c r="Y351" s="359"/>
    </row>
    <row r="352" spans="1:25" s="302" customFormat="1">
      <c r="A352" s="325" t="s">
        <v>452</v>
      </c>
      <c r="B352" s="325" t="s">
        <v>142</v>
      </c>
      <c r="C352" s="365" t="s">
        <v>61</v>
      </c>
      <c r="D352" s="365" t="s">
        <v>62</v>
      </c>
      <c r="E352" s="365" t="s">
        <v>20</v>
      </c>
      <c r="F352" s="365" t="s">
        <v>21</v>
      </c>
      <c r="G352" s="365" t="s">
        <v>22</v>
      </c>
      <c r="H352" s="322"/>
      <c r="I352" s="322"/>
      <c r="J352" s="322"/>
      <c r="K352" s="322"/>
      <c r="L352" s="322"/>
      <c r="M352" s="322"/>
      <c r="N352" s="322"/>
      <c r="P352" s="322"/>
      <c r="Q352" s="322"/>
      <c r="R352" s="360"/>
      <c r="S352" s="322"/>
      <c r="T352" s="322"/>
      <c r="U352" s="322"/>
      <c r="V352" s="322"/>
      <c r="W352" s="322"/>
      <c r="X352" s="322"/>
      <c r="Y352" s="322"/>
    </row>
    <row r="353" spans="1:25" s="302" customFormat="1">
      <c r="A353" s="320"/>
      <c r="B353" s="320"/>
      <c r="C353" s="320"/>
      <c r="D353" s="320"/>
      <c r="E353" s="320"/>
      <c r="F353" s="320"/>
      <c r="G353" s="320"/>
      <c r="H353" s="322"/>
      <c r="I353" s="322"/>
      <c r="J353" s="322"/>
      <c r="K353" s="322"/>
      <c r="L353" s="322"/>
      <c r="M353" s="322"/>
      <c r="N353" s="322"/>
      <c r="P353" s="322"/>
      <c r="Q353" s="322"/>
      <c r="R353" s="360"/>
      <c r="S353" s="322"/>
      <c r="T353" s="322"/>
      <c r="U353" s="322"/>
      <c r="V353" s="322"/>
      <c r="W353" s="322"/>
      <c r="X353" s="322"/>
      <c r="Y353" s="322"/>
    </row>
    <row r="354" spans="1:25" s="302" customFormat="1">
      <c r="A354" s="320"/>
      <c r="B354" s="320"/>
      <c r="C354" s="320"/>
      <c r="D354" s="320"/>
      <c r="E354" s="320"/>
      <c r="F354" s="320"/>
      <c r="G354" s="320"/>
      <c r="H354" s="322"/>
      <c r="I354" s="322"/>
      <c r="J354" s="322"/>
      <c r="K354" s="322"/>
      <c r="L354" s="322"/>
      <c r="M354" s="322"/>
      <c r="N354" s="322"/>
      <c r="O354" s="322"/>
      <c r="P354" s="322"/>
      <c r="Q354" s="322"/>
      <c r="R354" s="360"/>
      <c r="S354" s="322"/>
      <c r="T354" s="322"/>
      <c r="U354" s="322"/>
      <c r="V354" s="322"/>
      <c r="W354" s="322"/>
      <c r="X354" s="322"/>
      <c r="Y354" s="322"/>
    </row>
    <row r="355" spans="1:25" s="302" customFormat="1">
      <c r="A355" s="320"/>
      <c r="B355" s="320"/>
      <c r="C355" s="320"/>
      <c r="D355" s="320"/>
      <c r="E355" s="320"/>
      <c r="F355" s="320"/>
      <c r="G355" s="320"/>
      <c r="H355" s="322"/>
      <c r="I355" s="322"/>
      <c r="J355" s="322"/>
      <c r="K355" s="322"/>
      <c r="L355" s="322"/>
      <c r="M355" s="322"/>
      <c r="N355" s="322"/>
      <c r="O355" s="322"/>
      <c r="P355" s="322"/>
      <c r="Q355" s="322"/>
      <c r="R355" s="360"/>
      <c r="S355" s="322"/>
      <c r="T355" s="322"/>
      <c r="U355" s="322"/>
      <c r="V355" s="322"/>
      <c r="W355" s="322"/>
      <c r="X355" s="322"/>
      <c r="Y355" s="322"/>
    </row>
    <row r="356" spans="1:25" s="302" customFormat="1">
      <c r="A356" s="320"/>
      <c r="B356" s="320"/>
      <c r="C356" s="320"/>
      <c r="D356" s="320"/>
      <c r="E356" s="320"/>
      <c r="F356" s="320"/>
      <c r="G356" s="320"/>
      <c r="H356" s="322"/>
      <c r="I356" s="322"/>
      <c r="J356" s="322"/>
      <c r="K356" s="322"/>
      <c r="L356" s="322"/>
      <c r="M356" s="322"/>
      <c r="N356" s="322"/>
      <c r="R356" s="277"/>
    </row>
    <row r="357" spans="1:25" s="302" customFormat="1">
      <c r="A357" s="320"/>
      <c r="B357" s="320"/>
      <c r="C357" s="320"/>
      <c r="D357" s="320"/>
      <c r="E357" s="320"/>
      <c r="F357" s="320"/>
      <c r="G357" s="320"/>
      <c r="H357" s="322"/>
      <c r="I357" s="322"/>
      <c r="J357" s="322"/>
      <c r="K357" s="322"/>
      <c r="L357" s="322"/>
      <c r="M357" s="322"/>
      <c r="N357" s="322"/>
      <c r="R357" s="277"/>
    </row>
    <row r="358" spans="1:25" s="302" customFormat="1">
      <c r="A358" s="320"/>
      <c r="B358" s="320"/>
      <c r="C358" s="320"/>
      <c r="D358" s="320"/>
      <c r="E358" s="320"/>
      <c r="F358" s="320"/>
      <c r="G358" s="320"/>
      <c r="H358" s="322"/>
      <c r="I358" s="322"/>
      <c r="J358" s="322"/>
      <c r="K358" s="322"/>
      <c r="L358" s="322"/>
      <c r="M358" s="322"/>
      <c r="N358" s="322"/>
      <c r="R358" s="277"/>
    </row>
    <row r="359" spans="1:25" s="302" customFormat="1">
      <c r="A359" s="320"/>
      <c r="B359" s="320"/>
      <c r="C359" s="320"/>
      <c r="D359" s="320"/>
      <c r="E359" s="320"/>
      <c r="F359" s="320"/>
      <c r="G359" s="320"/>
      <c r="H359" s="322"/>
      <c r="I359" s="322"/>
      <c r="J359" s="322"/>
      <c r="K359" s="322"/>
      <c r="L359" s="322"/>
      <c r="M359" s="322"/>
      <c r="N359" s="322"/>
      <c r="R359" s="277"/>
    </row>
    <row r="360" spans="1:25" s="302" customFormat="1">
      <c r="A360" s="320"/>
      <c r="B360" s="320"/>
      <c r="C360" s="320"/>
      <c r="D360" s="320"/>
      <c r="E360" s="320"/>
      <c r="F360" s="320"/>
      <c r="G360" s="320"/>
      <c r="H360" s="322"/>
      <c r="I360" s="322"/>
      <c r="J360" s="322"/>
      <c r="K360" s="322"/>
      <c r="L360" s="322"/>
      <c r="M360" s="322"/>
      <c r="N360" s="322"/>
      <c r="R360" s="277"/>
    </row>
    <row r="361" spans="1:25" s="302" customFormat="1">
      <c r="A361" s="320"/>
      <c r="B361" s="320"/>
      <c r="C361" s="320"/>
      <c r="D361" s="320"/>
      <c r="E361" s="320"/>
      <c r="F361" s="320"/>
      <c r="G361" s="320"/>
      <c r="H361" s="322"/>
      <c r="I361" s="322"/>
      <c r="J361" s="322"/>
      <c r="K361" s="322"/>
      <c r="L361" s="322"/>
      <c r="M361" s="322"/>
      <c r="N361" s="322"/>
      <c r="R361" s="277"/>
    </row>
    <row r="362" spans="1:25" s="302" customFormat="1">
      <c r="A362" s="320"/>
      <c r="B362" s="320"/>
      <c r="C362" s="320"/>
      <c r="D362" s="320"/>
      <c r="E362" s="320"/>
      <c r="F362" s="320"/>
      <c r="G362" s="320"/>
      <c r="H362" s="322"/>
      <c r="I362" s="322"/>
      <c r="J362" s="322"/>
      <c r="K362" s="322"/>
      <c r="L362" s="322"/>
      <c r="M362" s="322"/>
      <c r="N362" s="322"/>
      <c r="R362" s="277"/>
    </row>
    <row r="363" spans="1:25" s="302" customFormat="1">
      <c r="A363" s="320"/>
      <c r="B363" s="320"/>
      <c r="C363" s="320"/>
      <c r="D363" s="320"/>
      <c r="E363" s="320"/>
      <c r="F363" s="320"/>
      <c r="G363" s="320"/>
      <c r="H363" s="322"/>
      <c r="I363" s="322"/>
      <c r="J363" s="322"/>
      <c r="K363" s="322"/>
      <c r="L363" s="322"/>
      <c r="M363" s="322"/>
      <c r="N363" s="322"/>
      <c r="R363" s="277"/>
    </row>
    <row r="364" spans="1:25" s="302" customFormat="1">
      <c r="A364" s="320"/>
      <c r="B364" s="320"/>
      <c r="C364" s="320"/>
      <c r="D364" s="320"/>
      <c r="E364" s="320"/>
      <c r="F364" s="320"/>
      <c r="G364" s="320"/>
      <c r="H364" s="322"/>
      <c r="I364" s="322"/>
      <c r="J364" s="322"/>
      <c r="K364" s="322"/>
      <c r="L364" s="322"/>
      <c r="M364" s="322"/>
      <c r="N364" s="322"/>
      <c r="R364" s="277"/>
    </row>
    <row r="365" spans="1:25" s="302" customFormat="1">
      <c r="A365" s="320"/>
      <c r="B365" s="320"/>
      <c r="C365" s="320"/>
      <c r="D365" s="320"/>
      <c r="E365" s="320"/>
      <c r="F365" s="320"/>
      <c r="G365" s="320"/>
      <c r="H365" s="322"/>
      <c r="I365" s="322"/>
      <c r="J365" s="322"/>
      <c r="K365" s="322"/>
      <c r="L365" s="322"/>
      <c r="M365" s="322"/>
      <c r="N365" s="322"/>
      <c r="R365" s="277"/>
    </row>
    <row r="366" spans="1:25" s="302" customFormat="1">
      <c r="A366" s="320"/>
      <c r="B366" s="320"/>
      <c r="C366" s="320"/>
      <c r="D366" s="320"/>
      <c r="E366" s="320"/>
      <c r="F366" s="320"/>
      <c r="G366" s="320"/>
      <c r="H366" s="322"/>
      <c r="I366" s="322"/>
      <c r="J366" s="322"/>
      <c r="K366" s="322"/>
      <c r="L366" s="322"/>
      <c r="M366" s="322"/>
      <c r="N366" s="322"/>
      <c r="R366" s="277"/>
    </row>
    <row r="367" spans="1:25" s="302" customFormat="1">
      <c r="A367" s="320"/>
      <c r="B367" s="320"/>
      <c r="C367" s="320"/>
      <c r="D367" s="320"/>
      <c r="E367" s="320"/>
      <c r="F367" s="320"/>
      <c r="G367" s="320"/>
      <c r="H367" s="322"/>
      <c r="I367" s="322"/>
      <c r="J367" s="322"/>
      <c r="K367" s="322"/>
      <c r="L367" s="322"/>
      <c r="M367" s="322"/>
      <c r="N367" s="322"/>
      <c r="R367" s="277"/>
    </row>
    <row r="368" spans="1:25" s="302" customFormat="1">
      <c r="A368" s="320"/>
      <c r="B368" s="320"/>
      <c r="C368" s="320"/>
      <c r="D368" s="320"/>
      <c r="E368" s="320"/>
      <c r="F368" s="320"/>
      <c r="G368" s="320"/>
      <c r="H368" s="322"/>
      <c r="I368" s="322"/>
      <c r="J368" s="322"/>
      <c r="K368" s="322"/>
      <c r="L368" s="322"/>
      <c r="M368" s="322"/>
      <c r="N368" s="322"/>
      <c r="R368" s="277"/>
    </row>
    <row r="369" spans="1:18" s="302" customFormat="1">
      <c r="A369" s="320"/>
      <c r="B369" s="320"/>
      <c r="C369" s="320"/>
      <c r="D369" s="320"/>
      <c r="E369" s="320"/>
      <c r="F369" s="320"/>
      <c r="G369" s="320"/>
      <c r="H369" s="322"/>
      <c r="I369" s="322"/>
      <c r="J369" s="322"/>
      <c r="K369" s="322"/>
      <c r="L369" s="322"/>
      <c r="M369" s="322"/>
      <c r="N369" s="322"/>
      <c r="R369" s="277"/>
    </row>
    <row r="370" spans="1:18" s="302" customFormat="1">
      <c r="A370" s="320"/>
      <c r="B370" s="320"/>
      <c r="C370" s="320"/>
      <c r="D370" s="320"/>
      <c r="E370" s="320"/>
      <c r="F370" s="320"/>
      <c r="G370" s="320"/>
      <c r="H370" s="322"/>
      <c r="I370" s="322"/>
      <c r="J370" s="322"/>
      <c r="K370" s="322"/>
      <c r="L370" s="322"/>
      <c r="M370" s="322"/>
      <c r="N370" s="322"/>
      <c r="R370" s="277"/>
    </row>
    <row r="371" spans="1:18" s="302" customFormat="1">
      <c r="A371" s="320"/>
      <c r="B371" s="320"/>
      <c r="C371" s="320"/>
      <c r="D371" s="320"/>
      <c r="E371" s="320"/>
      <c r="F371" s="320"/>
      <c r="G371" s="320"/>
      <c r="H371" s="322"/>
      <c r="I371" s="322"/>
      <c r="J371" s="322"/>
      <c r="K371" s="322"/>
      <c r="L371" s="322"/>
      <c r="M371" s="322"/>
      <c r="N371" s="322"/>
      <c r="R371" s="277"/>
    </row>
    <row r="372" spans="1:18" s="302" customFormat="1">
      <c r="A372" s="320"/>
      <c r="B372" s="320"/>
      <c r="C372" s="320"/>
      <c r="D372" s="320"/>
      <c r="E372" s="320"/>
      <c r="F372" s="320"/>
      <c r="G372" s="320"/>
      <c r="H372" s="322"/>
      <c r="I372" s="322"/>
      <c r="J372" s="322"/>
      <c r="K372" s="322"/>
      <c r="L372" s="322"/>
      <c r="M372" s="322"/>
      <c r="N372" s="322"/>
      <c r="R372" s="277"/>
    </row>
    <row r="373" spans="1:18" s="302" customFormat="1">
      <c r="A373" s="320"/>
      <c r="B373" s="320"/>
      <c r="C373" s="320"/>
      <c r="D373" s="320"/>
      <c r="E373" s="320"/>
      <c r="F373" s="320"/>
      <c r="G373" s="320"/>
      <c r="H373" s="322"/>
      <c r="I373" s="322"/>
      <c r="J373" s="322"/>
      <c r="K373" s="322"/>
      <c r="L373" s="322"/>
      <c r="M373" s="322"/>
      <c r="N373" s="322"/>
      <c r="R373" s="277"/>
    </row>
    <row r="374" spans="1:18" s="302" customFormat="1">
      <c r="A374" s="320"/>
      <c r="B374" s="320"/>
      <c r="C374" s="320"/>
      <c r="D374" s="320"/>
      <c r="E374" s="320"/>
      <c r="F374" s="320"/>
      <c r="G374" s="320"/>
      <c r="H374" s="322"/>
      <c r="I374" s="322"/>
      <c r="J374" s="322"/>
      <c r="K374" s="322"/>
      <c r="L374" s="322"/>
      <c r="M374" s="322"/>
      <c r="N374" s="322"/>
      <c r="R374" s="277"/>
    </row>
    <row r="375" spans="1:18" s="302" customFormat="1">
      <c r="A375" s="320"/>
      <c r="B375" s="320"/>
      <c r="C375" s="320"/>
      <c r="D375" s="320"/>
      <c r="E375" s="320"/>
      <c r="F375" s="320"/>
      <c r="G375" s="320"/>
      <c r="H375" s="322"/>
      <c r="I375" s="322"/>
      <c r="J375" s="322"/>
      <c r="K375" s="322"/>
      <c r="L375" s="322"/>
      <c r="M375" s="322"/>
      <c r="N375" s="322"/>
      <c r="R375" s="277"/>
    </row>
    <row r="376" spans="1:18" s="302" customFormat="1">
      <c r="A376" s="320"/>
      <c r="B376" s="320"/>
      <c r="C376" s="320"/>
      <c r="D376" s="320"/>
      <c r="E376" s="320"/>
      <c r="F376" s="320"/>
      <c r="G376" s="320"/>
      <c r="H376" s="322"/>
      <c r="I376" s="322"/>
      <c r="J376" s="322"/>
      <c r="K376" s="322"/>
      <c r="L376" s="322"/>
      <c r="M376" s="322"/>
      <c r="N376" s="322"/>
      <c r="R376" s="277"/>
    </row>
    <row r="377" spans="1:18" s="302" customFormat="1">
      <c r="A377" s="320"/>
      <c r="B377" s="320"/>
      <c r="C377" s="320"/>
      <c r="D377" s="320"/>
      <c r="E377" s="320"/>
      <c r="F377" s="320"/>
      <c r="G377" s="320"/>
      <c r="H377" s="322"/>
      <c r="I377" s="322"/>
      <c r="J377" s="322"/>
      <c r="K377" s="322"/>
      <c r="L377" s="322"/>
      <c r="M377" s="322"/>
      <c r="N377" s="322"/>
      <c r="R377" s="277"/>
    </row>
    <row r="378" spans="1:18" s="302" customFormat="1">
      <c r="A378" s="320"/>
      <c r="B378" s="320"/>
      <c r="C378" s="320"/>
      <c r="D378" s="320"/>
      <c r="E378" s="320"/>
      <c r="F378" s="320"/>
      <c r="G378" s="320"/>
      <c r="H378" s="322"/>
      <c r="I378" s="322"/>
      <c r="J378" s="322"/>
      <c r="K378" s="322"/>
      <c r="L378" s="322"/>
      <c r="M378" s="322"/>
      <c r="N378" s="322"/>
      <c r="R378" s="277"/>
    </row>
    <row r="379" spans="1:18" s="302" customFormat="1">
      <c r="A379" s="320"/>
      <c r="B379" s="320"/>
      <c r="C379" s="320"/>
      <c r="D379" s="320"/>
      <c r="E379" s="320"/>
      <c r="F379" s="320"/>
      <c r="G379" s="320"/>
      <c r="H379" s="322"/>
      <c r="I379" s="322"/>
      <c r="J379" s="322"/>
      <c r="K379" s="322"/>
      <c r="L379" s="322"/>
      <c r="M379" s="322"/>
      <c r="N379" s="322"/>
      <c r="R379" s="277"/>
    </row>
    <row r="380" spans="1:18" s="302" customFormat="1">
      <c r="A380" s="320"/>
      <c r="B380" s="320"/>
      <c r="C380" s="320"/>
      <c r="D380" s="320"/>
      <c r="E380" s="320"/>
      <c r="F380" s="320"/>
      <c r="G380" s="320"/>
      <c r="H380" s="322"/>
      <c r="I380" s="322"/>
      <c r="J380" s="322"/>
      <c r="K380" s="322"/>
      <c r="L380" s="322"/>
      <c r="M380" s="322"/>
      <c r="N380" s="322"/>
      <c r="R380" s="277"/>
    </row>
    <row r="381" spans="1:18" s="302" customFormat="1">
      <c r="A381" s="320"/>
      <c r="B381" s="320"/>
      <c r="C381" s="320"/>
      <c r="D381" s="320"/>
      <c r="E381" s="320"/>
      <c r="F381" s="320"/>
      <c r="G381" s="320"/>
      <c r="H381" s="322"/>
      <c r="I381" s="322"/>
      <c r="J381" s="322"/>
      <c r="K381" s="322"/>
      <c r="L381" s="322"/>
      <c r="M381" s="322"/>
      <c r="N381" s="322"/>
      <c r="R381" s="277"/>
    </row>
    <row r="382" spans="1:18" s="302" customFormat="1">
      <c r="A382" s="320"/>
      <c r="B382" s="320"/>
      <c r="C382" s="320"/>
      <c r="D382" s="320"/>
      <c r="E382" s="320"/>
      <c r="F382" s="320"/>
      <c r="G382" s="320"/>
      <c r="H382" s="322"/>
      <c r="I382" s="322"/>
      <c r="J382" s="322"/>
      <c r="K382" s="322"/>
      <c r="L382" s="322"/>
      <c r="M382" s="322"/>
      <c r="N382" s="322"/>
      <c r="R382" s="277"/>
    </row>
    <row r="383" spans="1:18" s="302" customFormat="1">
      <c r="A383" s="320"/>
      <c r="B383" s="320"/>
      <c r="C383" s="320"/>
      <c r="D383" s="320"/>
      <c r="E383" s="320"/>
      <c r="F383" s="320"/>
      <c r="G383" s="320"/>
      <c r="H383" s="322"/>
      <c r="I383" s="322"/>
      <c r="J383" s="322"/>
      <c r="K383" s="322"/>
      <c r="L383" s="322"/>
      <c r="M383" s="322"/>
      <c r="N383" s="322"/>
      <c r="R383" s="277"/>
    </row>
    <row r="384" spans="1:18" s="302" customFormat="1">
      <c r="A384" s="320"/>
      <c r="B384" s="320"/>
      <c r="C384" s="320"/>
      <c r="D384" s="320"/>
      <c r="E384" s="320"/>
      <c r="F384" s="320"/>
      <c r="G384" s="320"/>
      <c r="H384" s="322"/>
      <c r="I384" s="322"/>
      <c r="J384" s="322"/>
      <c r="K384" s="322"/>
      <c r="L384" s="322"/>
      <c r="M384" s="322"/>
      <c r="N384" s="322"/>
      <c r="R384" s="277"/>
    </row>
    <row r="385" spans="1:18" s="302" customFormat="1">
      <c r="A385" s="320"/>
      <c r="B385" s="320"/>
      <c r="C385" s="320"/>
      <c r="D385" s="320"/>
      <c r="E385" s="320"/>
      <c r="F385" s="320"/>
      <c r="G385" s="320"/>
      <c r="H385" s="322"/>
      <c r="I385" s="322"/>
      <c r="J385" s="322"/>
      <c r="K385" s="322"/>
      <c r="L385" s="322"/>
      <c r="M385" s="322"/>
      <c r="N385" s="322"/>
      <c r="R385" s="277"/>
    </row>
    <row r="386" spans="1:18" s="302" customFormat="1">
      <c r="A386" s="320"/>
      <c r="B386" s="320"/>
      <c r="C386" s="320"/>
      <c r="D386" s="320"/>
      <c r="E386" s="320"/>
      <c r="F386" s="320"/>
      <c r="G386" s="320"/>
      <c r="H386" s="322"/>
      <c r="I386" s="322"/>
      <c r="J386" s="322"/>
      <c r="K386" s="322"/>
      <c r="L386" s="322"/>
      <c r="M386" s="322"/>
      <c r="N386" s="322"/>
      <c r="R386" s="277"/>
    </row>
    <row r="387" spans="1:18" s="302" customFormat="1">
      <c r="A387" s="319"/>
      <c r="B387" s="364"/>
      <c r="C387" s="320"/>
      <c r="D387" s="320"/>
      <c r="E387" s="320"/>
      <c r="F387" s="320"/>
      <c r="G387" s="320"/>
      <c r="H387" s="322"/>
      <c r="I387" s="322"/>
      <c r="J387" s="322"/>
      <c r="K387" s="322"/>
      <c r="L387" s="322"/>
      <c r="M387" s="322"/>
      <c r="N387" s="322"/>
      <c r="R387" s="277"/>
    </row>
    <row r="388" spans="1:18" s="302" customFormat="1">
      <c r="A388" s="319"/>
      <c r="B388" s="364"/>
      <c r="C388" s="320"/>
      <c r="D388" s="320"/>
      <c r="E388" s="320"/>
      <c r="F388" s="320"/>
      <c r="G388" s="320"/>
      <c r="H388" s="322"/>
      <c r="I388" s="322"/>
      <c r="J388" s="322"/>
      <c r="K388" s="322"/>
      <c r="L388" s="322"/>
      <c r="M388" s="322"/>
      <c r="N388" s="322"/>
      <c r="R388" s="277"/>
    </row>
    <row r="389" spans="1:18" s="302" customFormat="1">
      <c r="A389" s="319"/>
      <c r="B389" s="364"/>
      <c r="C389" s="320"/>
      <c r="D389" s="320"/>
      <c r="E389" s="320"/>
      <c r="F389" s="320"/>
      <c r="G389" s="320"/>
      <c r="H389" s="322"/>
      <c r="I389" s="322"/>
      <c r="J389" s="322"/>
      <c r="K389" s="322"/>
      <c r="L389" s="322"/>
      <c r="M389" s="322"/>
      <c r="N389" s="322"/>
      <c r="R389" s="277"/>
    </row>
    <row r="390" spans="1:18" s="302" customFormat="1">
      <c r="A390" s="319"/>
      <c r="B390" s="364"/>
      <c r="C390" s="320"/>
      <c r="D390" s="320"/>
      <c r="E390" s="320"/>
      <c r="F390" s="320"/>
      <c r="G390" s="320"/>
      <c r="H390" s="322"/>
      <c r="I390" s="322"/>
      <c r="J390" s="322"/>
      <c r="K390" s="322"/>
      <c r="L390" s="322"/>
      <c r="M390" s="322"/>
      <c r="N390" s="322"/>
      <c r="R390" s="277"/>
    </row>
    <row r="391" spans="1:18" s="302" customFormat="1">
      <c r="A391" s="319"/>
      <c r="B391" s="364"/>
      <c r="C391" s="320"/>
      <c r="D391" s="320"/>
      <c r="E391" s="320"/>
      <c r="F391" s="320"/>
      <c r="G391" s="320"/>
      <c r="H391" s="322"/>
      <c r="I391" s="322"/>
      <c r="J391" s="322"/>
      <c r="K391" s="322"/>
      <c r="L391" s="322"/>
      <c r="M391" s="322"/>
      <c r="N391" s="322"/>
      <c r="R391" s="277"/>
    </row>
    <row r="392" spans="1:18" s="302" customFormat="1">
      <c r="A392" s="319"/>
      <c r="B392" s="364"/>
      <c r="C392" s="320"/>
      <c r="D392" s="320"/>
      <c r="E392" s="320"/>
      <c r="F392" s="320"/>
      <c r="G392" s="320"/>
      <c r="H392" s="322"/>
      <c r="I392" s="322"/>
      <c r="J392" s="322"/>
      <c r="K392" s="322"/>
      <c r="L392" s="322"/>
      <c r="M392" s="322"/>
      <c r="N392" s="322"/>
      <c r="R392" s="277"/>
    </row>
    <row r="393" spans="1:18" s="302" customFormat="1">
      <c r="E393" s="322"/>
      <c r="F393" s="322"/>
      <c r="G393" s="322"/>
      <c r="H393" s="322"/>
      <c r="I393" s="322"/>
      <c r="J393" s="322"/>
      <c r="K393" s="322"/>
      <c r="L393" s="322"/>
      <c r="M393" s="322"/>
      <c r="N393" s="322"/>
      <c r="R393" s="277"/>
    </row>
    <row r="394" spans="1:18" s="302" customFormat="1">
      <c r="E394" s="322"/>
      <c r="F394" s="322"/>
      <c r="G394" s="322"/>
      <c r="H394" s="322"/>
      <c r="I394" s="322"/>
      <c r="J394" s="322"/>
      <c r="K394" s="322"/>
      <c r="L394" s="322"/>
      <c r="M394" s="322"/>
      <c r="N394" s="322"/>
      <c r="R394" s="277"/>
    </row>
    <row r="395" spans="1:18" s="302" customFormat="1">
      <c r="E395" s="322"/>
      <c r="F395" s="322"/>
      <c r="G395" s="322"/>
      <c r="H395" s="322"/>
      <c r="I395" s="322"/>
      <c r="J395" s="322"/>
      <c r="K395" s="322"/>
      <c r="L395" s="322"/>
      <c r="M395" s="322"/>
      <c r="N395" s="322"/>
      <c r="R395" s="277"/>
    </row>
    <row r="396" spans="1:18" s="302" customFormat="1">
      <c r="E396" s="322"/>
      <c r="F396" s="322"/>
      <c r="G396" s="322"/>
      <c r="H396" s="322"/>
      <c r="I396" s="322"/>
      <c r="J396" s="322"/>
      <c r="K396" s="322"/>
      <c r="L396" s="322"/>
      <c r="M396" s="322"/>
      <c r="N396" s="322"/>
      <c r="R396" s="277"/>
    </row>
    <row r="397" spans="1:18" s="302" customFormat="1">
      <c r="E397" s="322"/>
      <c r="F397" s="322"/>
      <c r="G397" s="322"/>
      <c r="H397" s="322"/>
      <c r="I397" s="322"/>
      <c r="J397" s="322"/>
      <c r="K397" s="322"/>
      <c r="L397" s="322"/>
      <c r="M397" s="322"/>
      <c r="N397" s="322"/>
      <c r="R397" s="277"/>
    </row>
    <row r="398" spans="1:18" s="302" customFormat="1">
      <c r="E398" s="322"/>
      <c r="F398" s="322"/>
      <c r="G398" s="322"/>
      <c r="H398" s="322"/>
      <c r="I398" s="322"/>
      <c r="J398" s="322"/>
      <c r="K398" s="322"/>
      <c r="L398" s="322"/>
      <c r="M398" s="322"/>
      <c r="N398" s="322"/>
      <c r="R398" s="277"/>
    </row>
    <row r="399" spans="1:18" s="302" customFormat="1">
      <c r="E399" s="322"/>
      <c r="F399" s="322"/>
      <c r="G399" s="322"/>
      <c r="H399" s="322"/>
      <c r="I399" s="322"/>
      <c r="J399" s="322"/>
      <c r="K399" s="322"/>
      <c r="L399" s="322"/>
      <c r="M399" s="322"/>
      <c r="N399" s="322"/>
      <c r="R399" s="277"/>
    </row>
    <row r="400" spans="1:18" s="300" customFormat="1">
      <c r="A400" s="354" t="s">
        <v>175</v>
      </c>
      <c r="B400" s="355">
        <f>1+B350</f>
        <v>10</v>
      </c>
      <c r="E400" s="359"/>
      <c r="F400" s="359"/>
      <c r="G400" s="359"/>
      <c r="H400" s="359"/>
      <c r="I400" s="322"/>
      <c r="J400" s="322"/>
      <c r="K400" s="322"/>
      <c r="L400" s="322"/>
      <c r="M400" s="322"/>
      <c r="N400" s="322"/>
      <c r="O400" s="322"/>
      <c r="P400" s="322"/>
      <c r="R400" s="299"/>
    </row>
    <row r="401" spans="1:18" s="300" customFormat="1" ht="12.75" customHeight="1">
      <c r="A401" s="442" t="s">
        <v>238</v>
      </c>
      <c r="B401" s="454"/>
      <c r="C401" s="454"/>
      <c r="D401" s="454"/>
      <c r="E401" s="454"/>
      <c r="F401" s="454"/>
      <c r="G401" s="455"/>
      <c r="H401" s="359"/>
      <c r="I401" s="322"/>
      <c r="J401" s="322"/>
      <c r="K401" s="322"/>
      <c r="L401" s="322"/>
      <c r="M401" s="322"/>
      <c r="N401" s="322"/>
      <c r="O401" s="322"/>
      <c r="P401" s="322"/>
      <c r="Q401" s="322"/>
      <c r="R401" s="299"/>
    </row>
    <row r="402" spans="1:18" s="302" customFormat="1">
      <c r="A402" s="325" t="s">
        <v>452</v>
      </c>
      <c r="B402" s="325" t="s">
        <v>142</v>
      </c>
      <c r="C402" s="366" t="s">
        <v>61</v>
      </c>
      <c r="D402" s="363" t="s">
        <v>62</v>
      </c>
      <c r="E402" s="363" t="s">
        <v>20</v>
      </c>
      <c r="F402" s="363" t="s">
        <v>21</v>
      </c>
      <c r="G402" s="363" t="s">
        <v>22</v>
      </c>
      <c r="H402" s="322"/>
      <c r="I402" s="322"/>
      <c r="J402" s="322"/>
      <c r="K402" s="322"/>
      <c r="L402" s="322"/>
      <c r="M402" s="322"/>
      <c r="N402" s="322"/>
      <c r="O402" s="322"/>
      <c r="P402" s="322"/>
      <c r="Q402" s="322"/>
      <c r="R402" s="277"/>
    </row>
    <row r="403" spans="1:18" s="302" customFormat="1">
      <c r="A403" s="320"/>
      <c r="B403" s="320"/>
      <c r="C403" s="320"/>
      <c r="D403" s="320"/>
      <c r="E403" s="320"/>
      <c r="F403" s="320"/>
      <c r="G403" s="320"/>
      <c r="H403" s="322"/>
      <c r="I403" s="322"/>
      <c r="J403" s="322"/>
      <c r="K403" s="322"/>
      <c r="L403" s="322"/>
      <c r="M403" s="322"/>
      <c r="N403" s="322"/>
      <c r="O403" s="322"/>
      <c r="P403" s="322"/>
      <c r="Q403" s="322"/>
      <c r="R403" s="277"/>
    </row>
    <row r="404" spans="1:18" s="302" customFormat="1">
      <c r="A404" s="320"/>
      <c r="B404" s="320"/>
      <c r="C404" s="320"/>
      <c r="D404" s="320"/>
      <c r="E404" s="320"/>
      <c r="F404" s="320"/>
      <c r="G404" s="320"/>
      <c r="H404" s="322"/>
      <c r="I404" s="322"/>
      <c r="J404" s="322"/>
      <c r="K404" s="322"/>
      <c r="L404" s="322"/>
      <c r="M404" s="322"/>
      <c r="N404" s="322"/>
      <c r="O404" s="322"/>
      <c r="P404" s="322"/>
      <c r="Q404" s="322"/>
      <c r="R404" s="277"/>
    </row>
    <row r="405" spans="1:18" s="302" customFormat="1">
      <c r="A405" s="320"/>
      <c r="B405" s="320"/>
      <c r="C405" s="320"/>
      <c r="D405" s="320"/>
      <c r="E405" s="320"/>
      <c r="F405" s="320"/>
      <c r="G405" s="320"/>
      <c r="H405" s="322"/>
      <c r="I405" s="322"/>
      <c r="J405" s="322"/>
      <c r="K405" s="322"/>
      <c r="L405" s="322"/>
      <c r="M405" s="322"/>
      <c r="N405" s="322"/>
      <c r="O405" s="322"/>
      <c r="P405" s="322"/>
      <c r="Q405" s="322"/>
      <c r="R405" s="277"/>
    </row>
    <row r="406" spans="1:18" s="302" customFormat="1">
      <c r="A406" s="320"/>
      <c r="B406" s="320"/>
      <c r="C406" s="320"/>
      <c r="D406" s="320"/>
      <c r="E406" s="320"/>
      <c r="F406" s="320"/>
      <c r="G406" s="320"/>
      <c r="I406" s="322"/>
      <c r="J406" s="322"/>
      <c r="K406" s="322"/>
      <c r="L406" s="322"/>
      <c r="M406" s="322"/>
      <c r="N406" s="322"/>
      <c r="O406" s="322"/>
      <c r="P406" s="322"/>
      <c r="Q406" s="322"/>
      <c r="R406" s="277"/>
    </row>
    <row r="407" spans="1:18" s="302" customFormat="1">
      <c r="A407" s="320"/>
      <c r="B407" s="320"/>
      <c r="C407" s="320"/>
      <c r="D407" s="320"/>
      <c r="E407" s="320"/>
      <c r="F407" s="320"/>
      <c r="G407" s="320"/>
      <c r="I407" s="322"/>
      <c r="J407" s="322"/>
      <c r="K407" s="322"/>
      <c r="L407" s="322"/>
      <c r="M407" s="322"/>
      <c r="N407" s="322"/>
      <c r="O407" s="322"/>
      <c r="P407" s="322"/>
      <c r="Q407" s="322"/>
      <c r="R407" s="277"/>
    </row>
    <row r="408" spans="1:18" s="302" customFormat="1">
      <c r="A408" s="320"/>
      <c r="B408" s="320"/>
      <c r="C408" s="320"/>
      <c r="D408" s="320"/>
      <c r="E408" s="320"/>
      <c r="F408" s="320"/>
      <c r="G408" s="320"/>
      <c r="I408" s="322"/>
      <c r="J408" s="322"/>
      <c r="K408" s="322"/>
      <c r="L408" s="322"/>
      <c r="M408" s="322"/>
      <c r="N408" s="322"/>
      <c r="O408" s="322"/>
      <c r="P408" s="322"/>
      <c r="Q408" s="322"/>
      <c r="R408" s="277"/>
    </row>
    <row r="409" spans="1:18" s="302" customFormat="1">
      <c r="A409" s="320"/>
      <c r="B409" s="320"/>
      <c r="C409" s="320"/>
      <c r="D409" s="320"/>
      <c r="E409" s="320"/>
      <c r="F409" s="320"/>
      <c r="G409" s="320"/>
      <c r="I409" s="322"/>
      <c r="J409" s="322"/>
      <c r="K409" s="322"/>
      <c r="L409" s="322"/>
      <c r="M409" s="322"/>
      <c r="N409" s="322"/>
      <c r="O409" s="322"/>
      <c r="P409" s="322"/>
      <c r="Q409" s="322"/>
      <c r="R409" s="277"/>
    </row>
    <row r="410" spans="1:18" s="302" customFormat="1">
      <c r="A410" s="320"/>
      <c r="B410" s="320"/>
      <c r="C410" s="320"/>
      <c r="D410" s="320"/>
      <c r="E410" s="320"/>
      <c r="F410" s="320"/>
      <c r="G410" s="320"/>
      <c r="I410" s="322"/>
      <c r="J410" s="322"/>
      <c r="K410" s="322"/>
      <c r="L410" s="322"/>
      <c r="M410" s="322"/>
      <c r="N410" s="322"/>
      <c r="O410" s="322"/>
      <c r="P410" s="322"/>
      <c r="Q410" s="322"/>
      <c r="R410" s="277"/>
    </row>
    <row r="411" spans="1:18" s="302" customFormat="1">
      <c r="A411" s="320"/>
      <c r="B411" s="320"/>
      <c r="C411" s="320"/>
      <c r="D411" s="320"/>
      <c r="E411" s="320"/>
      <c r="F411" s="320"/>
      <c r="G411" s="320"/>
      <c r="I411" s="322"/>
      <c r="J411" s="322"/>
      <c r="K411" s="322"/>
      <c r="L411" s="322"/>
      <c r="M411" s="322"/>
      <c r="N411" s="322"/>
      <c r="O411" s="322"/>
      <c r="P411" s="322"/>
      <c r="Q411" s="322"/>
      <c r="R411" s="277"/>
    </row>
    <row r="412" spans="1:18" s="302" customFormat="1">
      <c r="A412" s="320"/>
      <c r="B412" s="320"/>
      <c r="C412" s="320"/>
      <c r="D412" s="320"/>
      <c r="E412" s="320"/>
      <c r="F412" s="320"/>
      <c r="G412" s="320"/>
      <c r="I412" s="322"/>
      <c r="J412" s="322"/>
      <c r="K412" s="322"/>
      <c r="L412" s="322"/>
      <c r="M412" s="322"/>
      <c r="N412" s="322"/>
      <c r="O412" s="322"/>
      <c r="P412" s="322"/>
      <c r="Q412" s="322"/>
      <c r="R412" s="277"/>
    </row>
    <row r="413" spans="1:18" s="302" customFormat="1">
      <c r="A413" s="320"/>
      <c r="B413" s="320"/>
      <c r="C413" s="320"/>
      <c r="D413" s="320"/>
      <c r="E413" s="320"/>
      <c r="F413" s="320"/>
      <c r="G413" s="320"/>
      <c r="I413" s="322"/>
      <c r="J413" s="322"/>
      <c r="K413" s="322"/>
      <c r="L413" s="322"/>
      <c r="M413" s="322"/>
      <c r="N413" s="322"/>
      <c r="O413" s="322"/>
      <c r="P413" s="322"/>
      <c r="Q413" s="322"/>
      <c r="R413" s="277"/>
    </row>
    <row r="414" spans="1:18" s="302" customFormat="1">
      <c r="A414" s="320"/>
      <c r="B414" s="320"/>
      <c r="C414" s="320"/>
      <c r="D414" s="320"/>
      <c r="E414" s="320"/>
      <c r="F414" s="320"/>
      <c r="G414" s="320"/>
      <c r="H414" s="322"/>
      <c r="I414" s="322"/>
      <c r="J414" s="322"/>
      <c r="K414" s="322"/>
      <c r="L414" s="322"/>
      <c r="M414" s="322"/>
      <c r="N414" s="322"/>
      <c r="O414" s="322"/>
      <c r="P414" s="322"/>
      <c r="Q414" s="322"/>
      <c r="R414" s="277"/>
    </row>
    <row r="415" spans="1:18" s="302" customFormat="1">
      <c r="A415" s="320"/>
      <c r="B415" s="320"/>
      <c r="C415" s="320"/>
      <c r="D415" s="320"/>
      <c r="E415" s="320"/>
      <c r="F415" s="320"/>
      <c r="G415" s="320"/>
      <c r="H415" s="322"/>
      <c r="I415" s="322"/>
      <c r="J415" s="322"/>
      <c r="K415" s="322"/>
      <c r="L415" s="322"/>
      <c r="M415" s="322"/>
      <c r="N415" s="322"/>
      <c r="O415" s="322"/>
      <c r="P415" s="322"/>
      <c r="Q415" s="322"/>
      <c r="R415" s="277"/>
    </row>
    <row r="416" spans="1:18" s="302" customFormat="1">
      <c r="A416" s="320"/>
      <c r="B416" s="320"/>
      <c r="C416" s="320"/>
      <c r="D416" s="320"/>
      <c r="E416" s="320"/>
      <c r="F416" s="320"/>
      <c r="G416" s="320"/>
      <c r="H416" s="322"/>
      <c r="I416" s="322"/>
      <c r="J416" s="322"/>
      <c r="K416" s="322"/>
      <c r="L416" s="322"/>
      <c r="M416" s="322"/>
      <c r="N416" s="322"/>
      <c r="O416" s="322"/>
      <c r="P416" s="322"/>
      <c r="Q416" s="322"/>
      <c r="R416" s="277"/>
    </row>
    <row r="417" spans="1:18" s="302" customFormat="1">
      <c r="A417" s="320"/>
      <c r="B417" s="320"/>
      <c r="C417" s="320"/>
      <c r="D417" s="320"/>
      <c r="E417" s="320"/>
      <c r="F417" s="320"/>
      <c r="G417" s="320"/>
      <c r="H417" s="322"/>
      <c r="I417" s="322"/>
      <c r="J417" s="322"/>
      <c r="K417" s="322"/>
      <c r="L417" s="322"/>
      <c r="M417" s="322"/>
      <c r="N417" s="322"/>
      <c r="O417" s="322"/>
      <c r="P417" s="322"/>
      <c r="Q417" s="322"/>
      <c r="R417" s="277"/>
    </row>
    <row r="418" spans="1:18" s="302" customFormat="1">
      <c r="A418" s="320"/>
      <c r="B418" s="320"/>
      <c r="C418" s="320"/>
      <c r="D418" s="320"/>
      <c r="E418" s="320"/>
      <c r="F418" s="320"/>
      <c r="G418" s="320"/>
      <c r="H418" s="322"/>
      <c r="I418" s="322"/>
      <c r="J418" s="322"/>
      <c r="K418" s="322"/>
      <c r="L418" s="322"/>
      <c r="M418" s="322"/>
      <c r="N418" s="322"/>
      <c r="O418" s="322"/>
      <c r="P418" s="322"/>
      <c r="Q418" s="322"/>
      <c r="R418" s="277"/>
    </row>
    <row r="419" spans="1:18" s="302" customFormat="1">
      <c r="A419" s="320"/>
      <c r="B419" s="320"/>
      <c r="C419" s="320"/>
      <c r="D419" s="320"/>
      <c r="E419" s="320"/>
      <c r="F419" s="320"/>
      <c r="G419" s="320"/>
      <c r="H419" s="322"/>
      <c r="I419" s="322"/>
      <c r="J419" s="322"/>
      <c r="K419" s="322"/>
      <c r="L419" s="322"/>
      <c r="M419" s="322"/>
      <c r="N419" s="322"/>
      <c r="O419" s="322"/>
      <c r="P419" s="322"/>
      <c r="Q419" s="322"/>
      <c r="R419" s="277"/>
    </row>
    <row r="420" spans="1:18" s="302" customFormat="1">
      <c r="A420" s="320"/>
      <c r="B420" s="320"/>
      <c r="C420" s="320"/>
      <c r="D420" s="320"/>
      <c r="E420" s="320"/>
      <c r="F420" s="320"/>
      <c r="G420" s="320"/>
      <c r="H420" s="322"/>
      <c r="I420" s="322"/>
      <c r="J420" s="322"/>
      <c r="K420" s="322"/>
      <c r="L420" s="322"/>
      <c r="M420" s="322"/>
      <c r="N420" s="322"/>
      <c r="O420" s="322"/>
      <c r="P420" s="322"/>
      <c r="Q420" s="322"/>
      <c r="R420" s="277"/>
    </row>
    <row r="421" spans="1:18" s="302" customFormat="1">
      <c r="A421" s="320"/>
      <c r="B421" s="320"/>
      <c r="C421" s="320"/>
      <c r="D421" s="320"/>
      <c r="E421" s="320"/>
      <c r="F421" s="320"/>
      <c r="G421" s="320"/>
      <c r="H421" s="322"/>
      <c r="I421" s="322"/>
      <c r="J421" s="322"/>
      <c r="K421" s="322"/>
      <c r="L421" s="322"/>
      <c r="M421" s="322"/>
      <c r="N421" s="322"/>
      <c r="O421" s="322"/>
      <c r="P421" s="322"/>
      <c r="Q421" s="322"/>
      <c r="R421" s="277"/>
    </row>
    <row r="422" spans="1:18" s="302" customFormat="1">
      <c r="A422" s="320"/>
      <c r="B422" s="320"/>
      <c r="C422" s="320"/>
      <c r="D422" s="320"/>
      <c r="E422" s="320"/>
      <c r="F422" s="320"/>
      <c r="G422" s="320"/>
      <c r="H422" s="322"/>
      <c r="I422" s="322"/>
      <c r="J422" s="322"/>
      <c r="K422" s="322"/>
      <c r="L422" s="322"/>
      <c r="M422" s="322"/>
      <c r="N422" s="322"/>
      <c r="O422" s="322"/>
      <c r="P422" s="322"/>
      <c r="Q422" s="322"/>
      <c r="R422" s="277"/>
    </row>
    <row r="423" spans="1:18" s="302" customFormat="1">
      <c r="A423" s="320"/>
      <c r="B423" s="320"/>
      <c r="C423" s="320"/>
      <c r="D423" s="320"/>
      <c r="E423" s="320"/>
      <c r="F423" s="320"/>
      <c r="G423" s="320"/>
      <c r="H423" s="322"/>
      <c r="I423" s="322"/>
      <c r="J423" s="322"/>
      <c r="K423" s="322"/>
      <c r="L423" s="322"/>
      <c r="M423" s="322"/>
      <c r="N423" s="322"/>
      <c r="O423" s="322"/>
      <c r="P423" s="322"/>
      <c r="Q423" s="322"/>
      <c r="R423" s="277"/>
    </row>
    <row r="424" spans="1:18" s="302" customFormat="1">
      <c r="A424" s="320"/>
      <c r="B424" s="320"/>
      <c r="C424" s="320"/>
      <c r="D424" s="320"/>
      <c r="E424" s="320"/>
      <c r="F424" s="320"/>
      <c r="G424" s="320"/>
      <c r="H424" s="322"/>
      <c r="I424" s="322"/>
      <c r="J424" s="322"/>
      <c r="K424" s="322"/>
      <c r="L424" s="322"/>
      <c r="M424" s="322"/>
      <c r="N424" s="322"/>
      <c r="O424" s="322"/>
      <c r="P424" s="322"/>
      <c r="Q424" s="322"/>
      <c r="R424" s="277"/>
    </row>
    <row r="425" spans="1:18" s="302" customFormat="1">
      <c r="A425" s="320"/>
      <c r="B425" s="320"/>
      <c r="C425" s="320"/>
      <c r="D425" s="320"/>
      <c r="E425" s="320"/>
      <c r="F425" s="320"/>
      <c r="G425" s="320"/>
      <c r="H425" s="322"/>
      <c r="I425" s="322"/>
      <c r="J425" s="322"/>
      <c r="K425" s="322"/>
      <c r="L425" s="322"/>
      <c r="M425" s="322"/>
      <c r="N425" s="322"/>
      <c r="O425" s="322"/>
      <c r="P425" s="322"/>
      <c r="Q425" s="322"/>
      <c r="R425" s="277"/>
    </row>
    <row r="426" spans="1:18" s="302" customFormat="1">
      <c r="A426" s="320"/>
      <c r="B426" s="320"/>
      <c r="C426" s="320"/>
      <c r="D426" s="320"/>
      <c r="E426" s="320"/>
      <c r="F426" s="320"/>
      <c r="G426" s="320"/>
      <c r="H426" s="322"/>
      <c r="I426" s="322"/>
      <c r="J426" s="322"/>
      <c r="K426" s="322"/>
      <c r="L426" s="322"/>
      <c r="M426" s="322"/>
      <c r="N426" s="322"/>
      <c r="O426" s="322"/>
      <c r="P426" s="322"/>
      <c r="Q426" s="322"/>
      <c r="R426" s="277"/>
    </row>
    <row r="427" spans="1:18" s="302" customFormat="1">
      <c r="A427" s="320"/>
      <c r="B427" s="320"/>
      <c r="C427" s="320"/>
      <c r="D427" s="320"/>
      <c r="E427" s="320"/>
      <c r="F427" s="320"/>
      <c r="G427" s="320"/>
      <c r="H427" s="322"/>
      <c r="I427" s="322"/>
      <c r="J427" s="322"/>
      <c r="K427" s="322"/>
      <c r="L427" s="322"/>
      <c r="M427" s="322"/>
      <c r="N427" s="322"/>
      <c r="O427" s="322"/>
      <c r="P427" s="322"/>
      <c r="Q427" s="322"/>
      <c r="R427" s="277"/>
    </row>
    <row r="428" spans="1:18" s="302" customFormat="1">
      <c r="A428" s="320"/>
      <c r="B428" s="320"/>
      <c r="C428" s="320"/>
      <c r="D428" s="320"/>
      <c r="E428" s="320"/>
      <c r="F428" s="320"/>
      <c r="G428" s="320"/>
      <c r="H428" s="322"/>
      <c r="I428" s="322"/>
      <c r="J428" s="322"/>
      <c r="K428" s="322"/>
      <c r="L428" s="322"/>
      <c r="M428" s="322"/>
      <c r="N428" s="322"/>
      <c r="O428" s="322"/>
      <c r="P428" s="322"/>
      <c r="Q428" s="322"/>
      <c r="R428" s="277"/>
    </row>
    <row r="429" spans="1:18" s="302" customFormat="1">
      <c r="A429" s="320"/>
      <c r="B429" s="320"/>
      <c r="C429" s="320"/>
      <c r="D429" s="320"/>
      <c r="E429" s="320"/>
      <c r="F429" s="320"/>
      <c r="G429" s="320"/>
      <c r="H429" s="322"/>
      <c r="I429" s="322"/>
      <c r="J429" s="322"/>
      <c r="K429" s="322"/>
      <c r="L429" s="322"/>
      <c r="M429" s="322"/>
      <c r="N429" s="322"/>
      <c r="O429" s="322"/>
      <c r="P429" s="322"/>
      <c r="Q429" s="322"/>
      <c r="R429" s="277"/>
    </row>
    <row r="430" spans="1:18" s="302" customFormat="1">
      <c r="A430" s="320"/>
      <c r="B430" s="320"/>
      <c r="C430" s="320"/>
      <c r="D430" s="320"/>
      <c r="E430" s="320"/>
      <c r="F430" s="320"/>
      <c r="G430" s="320"/>
      <c r="H430" s="322"/>
      <c r="I430" s="322"/>
      <c r="J430" s="322"/>
      <c r="K430" s="322"/>
      <c r="L430" s="322"/>
      <c r="M430" s="322"/>
      <c r="N430" s="322"/>
      <c r="O430" s="322"/>
      <c r="P430" s="322"/>
      <c r="Q430" s="322"/>
      <c r="R430" s="277"/>
    </row>
    <row r="431" spans="1:18" s="302" customFormat="1">
      <c r="A431" s="320"/>
      <c r="B431" s="320"/>
      <c r="C431" s="320"/>
      <c r="D431" s="320"/>
      <c r="E431" s="320"/>
      <c r="F431" s="320"/>
      <c r="G431" s="320"/>
      <c r="H431" s="322"/>
      <c r="I431" s="322"/>
      <c r="J431" s="322"/>
      <c r="K431" s="322"/>
      <c r="L431" s="322"/>
      <c r="M431" s="322"/>
      <c r="N431" s="322"/>
      <c r="O431" s="322"/>
      <c r="P431" s="322"/>
      <c r="Q431" s="322"/>
      <c r="R431" s="277"/>
    </row>
    <row r="432" spans="1:18" s="302" customFormat="1">
      <c r="A432" s="320"/>
      <c r="B432" s="320"/>
      <c r="C432" s="320"/>
      <c r="D432" s="320"/>
      <c r="E432" s="320"/>
      <c r="F432" s="320"/>
      <c r="G432" s="320"/>
      <c r="H432" s="322"/>
      <c r="I432" s="322"/>
      <c r="J432" s="322"/>
      <c r="K432" s="322"/>
      <c r="L432" s="322"/>
      <c r="M432" s="322"/>
      <c r="N432" s="322"/>
      <c r="O432" s="322"/>
      <c r="P432" s="322"/>
      <c r="Q432" s="322"/>
      <c r="R432" s="277"/>
    </row>
    <row r="433" spans="1:18" s="302" customFormat="1">
      <c r="A433" s="320"/>
      <c r="B433" s="320"/>
      <c r="C433" s="320"/>
      <c r="D433" s="320"/>
      <c r="E433" s="320"/>
      <c r="F433" s="320"/>
      <c r="G433" s="320"/>
      <c r="H433" s="322"/>
      <c r="I433" s="322"/>
      <c r="J433" s="322"/>
      <c r="K433" s="322"/>
      <c r="L433" s="322"/>
      <c r="M433" s="322"/>
      <c r="N433" s="322"/>
      <c r="O433" s="322"/>
      <c r="P433" s="322"/>
      <c r="Q433" s="322"/>
      <c r="R433" s="277"/>
    </row>
    <row r="434" spans="1:18" s="302" customFormat="1">
      <c r="A434" s="320"/>
      <c r="B434" s="320"/>
      <c r="C434" s="320"/>
      <c r="D434" s="320"/>
      <c r="E434" s="320"/>
      <c r="F434" s="320"/>
      <c r="G434" s="320"/>
      <c r="H434" s="322"/>
      <c r="I434" s="322"/>
      <c r="J434" s="322"/>
      <c r="K434" s="322"/>
      <c r="L434" s="322"/>
      <c r="M434" s="322"/>
      <c r="N434" s="322"/>
      <c r="O434" s="322"/>
      <c r="P434" s="322"/>
      <c r="Q434" s="322"/>
      <c r="R434" s="277"/>
    </row>
    <row r="435" spans="1:18" s="302" customFormat="1">
      <c r="A435" s="320"/>
      <c r="B435" s="320"/>
      <c r="C435" s="320"/>
      <c r="D435" s="320"/>
      <c r="E435" s="320"/>
      <c r="F435" s="320"/>
      <c r="G435" s="320"/>
      <c r="H435" s="322"/>
      <c r="I435" s="322"/>
      <c r="J435" s="322"/>
      <c r="K435" s="322"/>
      <c r="L435" s="322"/>
      <c r="M435" s="322"/>
      <c r="N435" s="322"/>
      <c r="O435" s="322"/>
      <c r="P435" s="322"/>
      <c r="Q435" s="322"/>
      <c r="R435" s="277"/>
    </row>
    <row r="436" spans="1:18" s="302" customFormat="1">
      <c r="A436" s="320"/>
      <c r="B436" s="320"/>
      <c r="C436" s="320"/>
      <c r="D436" s="320"/>
      <c r="E436" s="320"/>
      <c r="F436" s="320"/>
      <c r="G436" s="320"/>
      <c r="H436" s="322"/>
      <c r="I436" s="322"/>
      <c r="J436" s="322"/>
      <c r="K436" s="322"/>
      <c r="L436" s="322"/>
      <c r="M436" s="322"/>
      <c r="N436" s="322"/>
      <c r="O436" s="322"/>
      <c r="P436" s="322"/>
      <c r="Q436" s="322"/>
      <c r="R436" s="277"/>
    </row>
    <row r="437" spans="1:18" s="302" customFormat="1">
      <c r="A437" s="319"/>
      <c r="B437" s="364"/>
      <c r="C437" s="320"/>
      <c r="D437" s="320"/>
      <c r="E437" s="320"/>
      <c r="F437" s="320"/>
      <c r="G437" s="320"/>
      <c r="H437" s="322"/>
      <c r="I437" s="322"/>
      <c r="J437" s="322"/>
      <c r="K437" s="322"/>
      <c r="L437" s="322"/>
      <c r="M437" s="322"/>
      <c r="N437" s="322"/>
      <c r="O437" s="322"/>
      <c r="P437" s="322"/>
      <c r="Q437" s="322"/>
      <c r="R437" s="277"/>
    </row>
    <row r="438" spans="1:18" s="302" customFormat="1">
      <c r="A438" s="319"/>
      <c r="B438" s="364"/>
      <c r="C438" s="320"/>
      <c r="D438" s="320"/>
      <c r="E438" s="320"/>
      <c r="F438" s="320"/>
      <c r="G438" s="320"/>
      <c r="H438" s="322"/>
      <c r="I438" s="322"/>
      <c r="J438" s="322"/>
      <c r="K438" s="322"/>
      <c r="L438" s="322"/>
      <c r="M438" s="322"/>
      <c r="N438" s="322"/>
      <c r="O438" s="322"/>
      <c r="P438" s="322"/>
      <c r="Q438" s="322"/>
      <c r="R438" s="277"/>
    </row>
    <row r="439" spans="1:18" s="302" customFormat="1">
      <c r="A439" s="319"/>
      <c r="B439" s="364"/>
      <c r="C439" s="320"/>
      <c r="D439" s="320"/>
      <c r="E439" s="320"/>
      <c r="F439" s="320"/>
      <c r="G439" s="320"/>
      <c r="H439" s="322"/>
      <c r="I439" s="322"/>
      <c r="J439" s="322"/>
      <c r="K439" s="322"/>
      <c r="L439" s="322"/>
      <c r="M439" s="322"/>
      <c r="N439" s="322"/>
      <c r="O439" s="322"/>
      <c r="P439" s="322"/>
      <c r="Q439" s="322"/>
      <c r="R439" s="277"/>
    </row>
    <row r="440" spans="1:18" s="302" customFormat="1">
      <c r="A440" s="319"/>
      <c r="B440" s="364"/>
      <c r="C440" s="320"/>
      <c r="D440" s="320"/>
      <c r="E440" s="320"/>
      <c r="F440" s="320"/>
      <c r="G440" s="320"/>
      <c r="H440" s="322"/>
      <c r="I440" s="322"/>
      <c r="J440" s="322"/>
      <c r="K440" s="322"/>
      <c r="L440" s="322"/>
      <c r="M440" s="322"/>
      <c r="N440" s="322"/>
      <c r="O440" s="322"/>
      <c r="P440" s="322"/>
      <c r="Q440" s="322"/>
      <c r="R440" s="277"/>
    </row>
    <row r="441" spans="1:18" s="302" customFormat="1">
      <c r="A441" s="319"/>
      <c r="B441" s="364"/>
      <c r="C441" s="320"/>
      <c r="D441" s="320"/>
      <c r="E441" s="320"/>
      <c r="F441" s="320"/>
      <c r="G441" s="320"/>
      <c r="H441" s="322"/>
      <c r="I441" s="322"/>
      <c r="J441" s="322"/>
      <c r="K441" s="322"/>
      <c r="L441" s="322"/>
      <c r="M441" s="322"/>
      <c r="N441" s="322"/>
      <c r="O441" s="322"/>
      <c r="P441" s="322"/>
      <c r="Q441" s="322"/>
      <c r="R441" s="277"/>
    </row>
    <row r="442" spans="1:18" s="302" customFormat="1">
      <c r="A442" s="319"/>
      <c r="B442" s="364"/>
      <c r="C442" s="320"/>
      <c r="D442" s="320"/>
      <c r="E442" s="320"/>
      <c r="F442" s="320"/>
      <c r="G442" s="320"/>
      <c r="H442" s="322"/>
      <c r="I442" s="322"/>
      <c r="J442" s="322"/>
      <c r="K442" s="322"/>
      <c r="L442" s="322"/>
      <c r="M442" s="322"/>
      <c r="N442" s="322"/>
      <c r="O442" s="322"/>
      <c r="P442" s="322"/>
      <c r="Q442" s="322"/>
      <c r="R442" s="277"/>
    </row>
    <row r="443" spans="1:18" s="302" customFormat="1">
      <c r="E443" s="322"/>
      <c r="F443" s="322"/>
      <c r="G443" s="322"/>
      <c r="H443" s="322"/>
      <c r="I443" s="322"/>
      <c r="J443" s="322"/>
      <c r="K443" s="322"/>
      <c r="L443" s="322"/>
      <c r="M443" s="322"/>
      <c r="N443" s="322"/>
      <c r="O443" s="322"/>
      <c r="P443" s="322"/>
      <c r="Q443" s="322"/>
      <c r="R443" s="277"/>
    </row>
    <row r="444" spans="1:18" s="302" customFormat="1">
      <c r="E444" s="322"/>
      <c r="F444" s="322"/>
      <c r="G444" s="322"/>
      <c r="H444" s="322"/>
      <c r="I444" s="322"/>
      <c r="J444" s="322"/>
      <c r="K444" s="322"/>
      <c r="L444" s="322"/>
      <c r="M444" s="322"/>
      <c r="N444" s="322"/>
      <c r="O444" s="322"/>
      <c r="P444" s="322"/>
      <c r="Q444" s="322"/>
      <c r="R444" s="277"/>
    </row>
    <row r="445" spans="1:18" s="302" customFormat="1">
      <c r="E445" s="322"/>
      <c r="F445" s="322"/>
      <c r="G445" s="322"/>
      <c r="H445" s="322"/>
      <c r="I445" s="359"/>
      <c r="J445" s="359"/>
      <c r="K445" s="359"/>
      <c r="L445" s="359"/>
      <c r="M445" s="359"/>
      <c r="N445" s="359"/>
      <c r="O445" s="359"/>
      <c r="P445" s="359"/>
      <c r="Q445" s="359"/>
      <c r="R445" s="277"/>
    </row>
    <row r="446" spans="1:18" s="302" customFormat="1">
      <c r="E446" s="322"/>
      <c r="F446" s="322"/>
      <c r="G446" s="322"/>
      <c r="H446" s="322"/>
      <c r="I446" s="359"/>
      <c r="J446" s="359"/>
      <c r="K446" s="359"/>
      <c r="L446" s="359"/>
      <c r="M446" s="359"/>
      <c r="N446" s="359"/>
      <c r="O446" s="359"/>
      <c r="P446" s="359"/>
      <c r="Q446" s="359"/>
      <c r="R446" s="277"/>
    </row>
    <row r="447" spans="1:18" s="302" customFormat="1">
      <c r="E447" s="322"/>
      <c r="F447" s="322"/>
      <c r="G447" s="322"/>
      <c r="H447" s="322"/>
      <c r="I447" s="322"/>
      <c r="J447" s="322"/>
      <c r="K447" s="322"/>
      <c r="L447" s="322"/>
      <c r="M447" s="322"/>
      <c r="N447" s="322"/>
      <c r="O447" s="322"/>
      <c r="P447" s="322"/>
      <c r="Q447" s="322"/>
      <c r="R447" s="277"/>
    </row>
    <row r="448" spans="1:18" s="302" customFormat="1">
      <c r="E448" s="322"/>
      <c r="F448" s="322"/>
      <c r="G448" s="322"/>
      <c r="H448" s="322"/>
      <c r="I448" s="322"/>
      <c r="J448" s="322"/>
      <c r="K448" s="322"/>
      <c r="L448" s="322"/>
      <c r="M448" s="322"/>
      <c r="N448" s="322"/>
      <c r="O448" s="322"/>
      <c r="P448" s="322"/>
      <c r="Q448" s="322"/>
      <c r="R448" s="277"/>
    </row>
    <row r="449" spans="1:18" s="302" customFormat="1">
      <c r="C449" s="367" t="s">
        <v>466</v>
      </c>
      <c r="E449" s="322"/>
      <c r="F449" s="322"/>
      <c r="G449" s="322"/>
      <c r="H449" s="322"/>
      <c r="I449" s="322"/>
      <c r="J449" s="322"/>
      <c r="K449" s="322"/>
      <c r="L449" s="322"/>
      <c r="M449" s="322"/>
      <c r="N449" s="322"/>
      <c r="O449" s="322"/>
      <c r="P449" s="322"/>
      <c r="Q449" s="322"/>
      <c r="R449" s="277"/>
    </row>
    <row r="450" spans="1:18" s="302" customFormat="1">
      <c r="A450" s="354" t="s">
        <v>175</v>
      </c>
      <c r="B450" s="355">
        <f>1+B400</f>
        <v>11</v>
      </c>
      <c r="C450" s="300"/>
      <c r="D450" s="300"/>
      <c r="E450" s="359"/>
      <c r="F450" s="359"/>
      <c r="G450" s="359"/>
      <c r="H450" s="322"/>
      <c r="I450" s="322"/>
      <c r="J450" s="322"/>
      <c r="K450" s="322"/>
      <c r="L450" s="322"/>
      <c r="M450" s="322"/>
      <c r="N450" s="322"/>
      <c r="O450" s="322"/>
      <c r="P450" s="322"/>
      <c r="Q450" s="322"/>
      <c r="R450" s="277"/>
    </row>
    <row r="451" spans="1:18" s="302" customFormat="1" ht="12.75" customHeight="1">
      <c r="A451" s="442" t="s">
        <v>246</v>
      </c>
      <c r="B451" s="454"/>
      <c r="C451" s="454"/>
      <c r="D451" s="454"/>
      <c r="E451" s="454"/>
      <c r="F451" s="454"/>
      <c r="G451" s="455"/>
      <c r="H451" s="359"/>
      <c r="I451" s="322"/>
      <c r="J451" s="322"/>
      <c r="K451" s="322"/>
      <c r="L451" s="322"/>
      <c r="M451" s="322"/>
      <c r="N451" s="322"/>
      <c r="O451" s="322"/>
      <c r="R451" s="277"/>
    </row>
    <row r="452" spans="1:18" s="302" customFormat="1">
      <c r="A452" s="325" t="s">
        <v>452</v>
      </c>
      <c r="B452" s="325" t="s">
        <v>142</v>
      </c>
      <c r="C452" s="363" t="s">
        <v>61</v>
      </c>
      <c r="D452" s="363" t="s">
        <v>62</v>
      </c>
      <c r="E452" s="363" t="s">
        <v>20</v>
      </c>
      <c r="F452" s="363" t="s">
        <v>21</v>
      </c>
      <c r="G452" s="363" t="s">
        <v>22</v>
      </c>
      <c r="H452" s="322"/>
      <c r="I452" s="322"/>
      <c r="J452" s="322"/>
      <c r="K452" s="322"/>
      <c r="L452" s="322"/>
      <c r="M452" s="322"/>
      <c r="N452" s="322"/>
      <c r="O452" s="322"/>
      <c r="P452" s="322"/>
      <c r="R452" s="277"/>
    </row>
    <row r="453" spans="1:18" s="302" customFormat="1">
      <c r="A453" s="320"/>
      <c r="B453" s="320"/>
      <c r="C453" s="320"/>
      <c r="D453" s="320"/>
      <c r="E453" s="320"/>
      <c r="F453" s="320"/>
      <c r="G453" s="320"/>
      <c r="H453" s="322"/>
      <c r="I453" s="322"/>
      <c r="J453" s="322"/>
      <c r="K453" s="322"/>
      <c r="L453" s="322"/>
      <c r="M453" s="322"/>
      <c r="N453" s="322"/>
      <c r="O453" s="322"/>
      <c r="P453" s="322"/>
      <c r="R453" s="277"/>
    </row>
    <row r="454" spans="1:18" s="302" customFormat="1">
      <c r="A454" s="320"/>
      <c r="B454" s="320"/>
      <c r="C454" s="320"/>
      <c r="D454" s="320"/>
      <c r="E454" s="320"/>
      <c r="F454" s="320"/>
      <c r="G454" s="320"/>
      <c r="H454" s="322"/>
      <c r="I454" s="322"/>
      <c r="J454" s="322"/>
      <c r="K454" s="322"/>
      <c r="L454" s="322"/>
      <c r="M454" s="322"/>
      <c r="N454" s="322"/>
      <c r="O454" s="322"/>
      <c r="P454" s="322"/>
      <c r="R454" s="277"/>
    </row>
    <row r="455" spans="1:18" s="302" customFormat="1">
      <c r="A455" s="320"/>
      <c r="B455" s="320"/>
      <c r="C455" s="320"/>
      <c r="D455" s="320"/>
      <c r="E455" s="320"/>
      <c r="F455" s="320"/>
      <c r="G455" s="320"/>
      <c r="H455" s="322"/>
      <c r="I455" s="322"/>
      <c r="J455" s="322"/>
      <c r="K455" s="322"/>
      <c r="L455" s="322"/>
      <c r="M455" s="322"/>
      <c r="N455" s="322"/>
      <c r="O455" s="322"/>
      <c r="P455" s="322"/>
      <c r="R455" s="277"/>
    </row>
    <row r="456" spans="1:18" s="302" customFormat="1">
      <c r="A456" s="320"/>
      <c r="B456" s="320"/>
      <c r="C456" s="320"/>
      <c r="D456" s="320"/>
      <c r="E456" s="320"/>
      <c r="F456" s="320"/>
      <c r="G456" s="320"/>
      <c r="I456" s="322"/>
      <c r="J456" s="322"/>
      <c r="K456" s="322"/>
      <c r="L456" s="322"/>
      <c r="M456" s="322"/>
      <c r="N456" s="322"/>
      <c r="O456" s="322"/>
      <c r="P456" s="322"/>
      <c r="R456" s="277"/>
    </row>
    <row r="457" spans="1:18" s="302" customFormat="1">
      <c r="A457" s="320"/>
      <c r="B457" s="320"/>
      <c r="C457" s="320"/>
      <c r="D457" s="320"/>
      <c r="E457" s="320"/>
      <c r="F457" s="320"/>
      <c r="G457" s="320"/>
      <c r="I457" s="322"/>
      <c r="J457" s="322"/>
      <c r="K457" s="322"/>
      <c r="L457" s="322"/>
      <c r="M457" s="322"/>
      <c r="N457" s="322"/>
      <c r="O457" s="322"/>
      <c r="P457" s="322"/>
      <c r="R457" s="277"/>
    </row>
    <row r="458" spans="1:18" s="302" customFormat="1">
      <c r="A458" s="320"/>
      <c r="B458" s="320"/>
      <c r="C458" s="320"/>
      <c r="D458" s="320"/>
      <c r="E458" s="320"/>
      <c r="F458" s="320"/>
      <c r="G458" s="320"/>
      <c r="I458" s="322"/>
      <c r="J458" s="322"/>
      <c r="K458" s="322"/>
      <c r="L458" s="322"/>
      <c r="M458" s="322"/>
      <c r="N458" s="322"/>
      <c r="O458" s="322"/>
      <c r="P458" s="322"/>
      <c r="R458" s="277"/>
    </row>
    <row r="459" spans="1:18" s="302" customFormat="1">
      <c r="A459" s="320"/>
      <c r="B459" s="320"/>
      <c r="C459" s="320"/>
      <c r="D459" s="320"/>
      <c r="E459" s="320"/>
      <c r="F459" s="320"/>
      <c r="G459" s="320"/>
      <c r="I459" s="322"/>
      <c r="J459" s="322"/>
      <c r="K459" s="322"/>
      <c r="L459" s="322"/>
      <c r="M459" s="322"/>
      <c r="N459" s="322"/>
      <c r="O459" s="322"/>
      <c r="P459" s="322"/>
      <c r="R459" s="277"/>
    </row>
    <row r="460" spans="1:18" s="302" customFormat="1">
      <c r="A460" s="320"/>
      <c r="B460" s="320"/>
      <c r="C460" s="320"/>
      <c r="D460" s="320"/>
      <c r="E460" s="320"/>
      <c r="F460" s="320"/>
      <c r="G460" s="320"/>
      <c r="I460" s="322"/>
      <c r="J460" s="322"/>
      <c r="K460" s="322"/>
      <c r="L460" s="322"/>
      <c r="M460" s="322"/>
      <c r="N460" s="322"/>
      <c r="O460" s="322"/>
      <c r="P460" s="322"/>
      <c r="R460" s="277"/>
    </row>
    <row r="461" spans="1:18" s="302" customFormat="1">
      <c r="A461" s="320"/>
      <c r="B461" s="320"/>
      <c r="C461" s="320"/>
      <c r="D461" s="320"/>
      <c r="E461" s="320"/>
      <c r="F461" s="320"/>
      <c r="G461" s="320"/>
      <c r="I461" s="322"/>
      <c r="J461" s="322"/>
      <c r="K461" s="322"/>
      <c r="L461" s="322"/>
      <c r="M461" s="322"/>
      <c r="N461" s="322"/>
      <c r="O461" s="322"/>
      <c r="P461" s="322"/>
      <c r="R461" s="277"/>
    </row>
    <row r="462" spans="1:18" s="302" customFormat="1">
      <c r="A462" s="320"/>
      <c r="B462" s="320"/>
      <c r="C462" s="320"/>
      <c r="D462" s="320"/>
      <c r="E462" s="320"/>
      <c r="F462" s="320"/>
      <c r="G462" s="320"/>
      <c r="I462" s="322"/>
      <c r="J462" s="322"/>
      <c r="K462" s="322"/>
      <c r="L462" s="322"/>
      <c r="M462" s="322"/>
      <c r="N462" s="322"/>
      <c r="O462" s="322"/>
      <c r="P462" s="322"/>
      <c r="R462" s="277"/>
    </row>
    <row r="463" spans="1:18" s="302" customFormat="1">
      <c r="A463" s="320"/>
      <c r="B463" s="320"/>
      <c r="C463" s="320"/>
      <c r="D463" s="320"/>
      <c r="E463" s="320"/>
      <c r="F463" s="320"/>
      <c r="G463" s="320"/>
      <c r="I463" s="322"/>
      <c r="J463" s="322"/>
      <c r="K463" s="322"/>
      <c r="L463" s="322"/>
      <c r="M463" s="322"/>
      <c r="N463" s="322"/>
      <c r="O463" s="322"/>
      <c r="P463" s="322"/>
      <c r="R463" s="277"/>
    </row>
    <row r="464" spans="1:18" s="302" customFormat="1">
      <c r="A464" s="320"/>
      <c r="B464" s="320"/>
      <c r="C464" s="320"/>
      <c r="D464" s="320"/>
      <c r="E464" s="320"/>
      <c r="F464" s="320"/>
      <c r="G464" s="320"/>
      <c r="H464" s="322"/>
      <c r="I464" s="322"/>
      <c r="J464" s="322"/>
      <c r="K464" s="322"/>
      <c r="L464" s="322"/>
      <c r="M464" s="322"/>
      <c r="N464" s="322"/>
      <c r="O464" s="322"/>
      <c r="P464" s="322"/>
      <c r="R464" s="277"/>
    </row>
    <row r="465" spans="1:18" s="302" customFormat="1">
      <c r="A465" s="320"/>
      <c r="B465" s="320"/>
      <c r="C465" s="320"/>
      <c r="D465" s="320"/>
      <c r="E465" s="320"/>
      <c r="F465" s="320"/>
      <c r="G465" s="320"/>
      <c r="H465" s="322"/>
      <c r="I465" s="322"/>
      <c r="J465" s="322"/>
      <c r="K465" s="322"/>
      <c r="L465" s="322"/>
      <c r="M465" s="322"/>
      <c r="N465" s="322"/>
      <c r="O465" s="322"/>
      <c r="P465" s="322"/>
      <c r="R465" s="277"/>
    </row>
    <row r="466" spans="1:18" s="302" customFormat="1">
      <c r="A466" s="320"/>
      <c r="B466" s="320"/>
      <c r="C466" s="320"/>
      <c r="D466" s="320"/>
      <c r="E466" s="320"/>
      <c r="F466" s="320"/>
      <c r="G466" s="320"/>
      <c r="H466" s="322"/>
      <c r="I466" s="322"/>
      <c r="J466" s="322"/>
      <c r="K466" s="322"/>
      <c r="L466" s="322"/>
      <c r="M466" s="322"/>
      <c r="N466" s="322"/>
      <c r="O466" s="322"/>
      <c r="P466" s="322"/>
      <c r="R466" s="277"/>
    </row>
    <row r="467" spans="1:18" s="302" customFormat="1">
      <c r="A467" s="320"/>
      <c r="B467" s="320"/>
      <c r="C467" s="320"/>
      <c r="D467" s="320"/>
      <c r="E467" s="320"/>
      <c r="F467" s="320"/>
      <c r="G467" s="320"/>
      <c r="H467" s="322"/>
      <c r="I467" s="322"/>
      <c r="J467" s="322"/>
      <c r="K467" s="322"/>
      <c r="L467" s="322"/>
      <c r="M467" s="322"/>
      <c r="N467" s="322"/>
      <c r="O467" s="322"/>
      <c r="P467" s="322"/>
      <c r="R467" s="277"/>
    </row>
    <row r="468" spans="1:18" s="302" customFormat="1">
      <c r="A468" s="320"/>
      <c r="B468" s="320"/>
      <c r="C468" s="320"/>
      <c r="D468" s="320"/>
      <c r="E468" s="320"/>
      <c r="F468" s="320"/>
      <c r="G468" s="320"/>
      <c r="H468" s="322"/>
      <c r="I468" s="322"/>
      <c r="J468" s="322"/>
      <c r="K468" s="322"/>
      <c r="L468" s="322"/>
      <c r="M468" s="322"/>
      <c r="N468" s="322"/>
      <c r="O468" s="322"/>
      <c r="P468" s="322"/>
      <c r="R468" s="277"/>
    </row>
    <row r="469" spans="1:18" s="302" customFormat="1">
      <c r="A469" s="320"/>
      <c r="B469" s="320"/>
      <c r="C469" s="320"/>
      <c r="D469" s="320"/>
      <c r="E469" s="320"/>
      <c r="F469" s="320"/>
      <c r="G469" s="320"/>
      <c r="H469" s="322"/>
      <c r="I469" s="322"/>
      <c r="J469" s="322"/>
      <c r="K469" s="322"/>
      <c r="L469" s="322"/>
      <c r="M469" s="322"/>
      <c r="N469" s="322"/>
      <c r="O469" s="322"/>
      <c r="P469" s="322"/>
      <c r="R469" s="277"/>
    </row>
    <row r="470" spans="1:18" s="302" customFormat="1">
      <c r="A470" s="320"/>
      <c r="B470" s="320"/>
      <c r="C470" s="320"/>
      <c r="D470" s="320"/>
      <c r="E470" s="320"/>
      <c r="F470" s="320"/>
      <c r="G470" s="320"/>
      <c r="H470" s="322"/>
      <c r="I470" s="322"/>
      <c r="J470" s="322"/>
      <c r="K470" s="322"/>
      <c r="L470" s="322"/>
      <c r="M470" s="322"/>
      <c r="N470" s="322"/>
      <c r="O470" s="322"/>
      <c r="P470" s="322"/>
      <c r="R470" s="277"/>
    </row>
    <row r="471" spans="1:18" s="302" customFormat="1">
      <c r="A471" s="320"/>
      <c r="B471" s="320"/>
      <c r="C471" s="320"/>
      <c r="D471" s="320"/>
      <c r="E471" s="320"/>
      <c r="F471" s="320"/>
      <c r="G471" s="320"/>
      <c r="H471" s="322"/>
      <c r="I471" s="322"/>
      <c r="J471" s="322"/>
      <c r="K471" s="322"/>
      <c r="L471" s="322"/>
      <c r="M471" s="322"/>
      <c r="N471" s="322"/>
      <c r="O471" s="322"/>
      <c r="P471" s="322"/>
      <c r="R471" s="277"/>
    </row>
    <row r="472" spans="1:18" s="302" customFormat="1">
      <c r="A472" s="320"/>
      <c r="B472" s="320"/>
      <c r="C472" s="320"/>
      <c r="D472" s="320"/>
      <c r="E472" s="320"/>
      <c r="F472" s="320"/>
      <c r="G472" s="320"/>
      <c r="H472" s="322"/>
      <c r="I472" s="322"/>
      <c r="J472" s="322"/>
      <c r="K472" s="322"/>
      <c r="L472" s="322"/>
      <c r="M472" s="322"/>
      <c r="N472" s="322"/>
      <c r="O472" s="322"/>
      <c r="P472" s="322"/>
      <c r="R472" s="277"/>
    </row>
    <row r="473" spans="1:18" s="302" customFormat="1">
      <c r="A473" s="320"/>
      <c r="B473" s="320"/>
      <c r="C473" s="320"/>
      <c r="D473" s="320"/>
      <c r="E473" s="320"/>
      <c r="F473" s="320"/>
      <c r="G473" s="320"/>
      <c r="H473" s="322"/>
      <c r="I473" s="322"/>
      <c r="J473" s="322"/>
      <c r="K473" s="322"/>
      <c r="L473" s="322"/>
      <c r="M473" s="322"/>
      <c r="N473" s="322"/>
      <c r="O473" s="322"/>
      <c r="P473" s="322"/>
      <c r="R473" s="277"/>
    </row>
    <row r="474" spans="1:18" s="302" customFormat="1">
      <c r="A474" s="320"/>
      <c r="B474" s="320"/>
      <c r="C474" s="320"/>
      <c r="D474" s="320"/>
      <c r="E474" s="320"/>
      <c r="F474" s="320"/>
      <c r="G474" s="320"/>
      <c r="H474" s="322"/>
      <c r="I474" s="322"/>
      <c r="J474" s="322"/>
      <c r="K474" s="322"/>
      <c r="L474" s="322"/>
      <c r="M474" s="322"/>
      <c r="N474" s="322"/>
      <c r="O474" s="322"/>
      <c r="P474" s="322"/>
      <c r="R474" s="277"/>
    </row>
    <row r="475" spans="1:18" s="302" customFormat="1">
      <c r="A475" s="320"/>
      <c r="B475" s="320"/>
      <c r="C475" s="320"/>
      <c r="D475" s="320"/>
      <c r="E475" s="320"/>
      <c r="F475" s="320"/>
      <c r="G475" s="320"/>
      <c r="H475" s="322"/>
      <c r="I475" s="322"/>
      <c r="J475" s="322"/>
      <c r="K475" s="322"/>
      <c r="L475" s="322"/>
      <c r="M475" s="322"/>
      <c r="N475" s="322"/>
      <c r="O475" s="322"/>
      <c r="P475" s="322"/>
      <c r="R475" s="277"/>
    </row>
    <row r="476" spans="1:18" s="302" customFormat="1">
      <c r="A476" s="320"/>
      <c r="B476" s="320"/>
      <c r="C476" s="320"/>
      <c r="D476" s="320"/>
      <c r="E476" s="320"/>
      <c r="F476" s="320"/>
      <c r="G476" s="320"/>
      <c r="H476" s="322"/>
      <c r="I476" s="322"/>
      <c r="J476" s="322"/>
      <c r="K476" s="322"/>
      <c r="L476" s="322"/>
      <c r="M476" s="322"/>
      <c r="N476" s="322"/>
      <c r="O476" s="322"/>
      <c r="P476" s="322"/>
      <c r="R476" s="277"/>
    </row>
    <row r="477" spans="1:18" s="302" customFormat="1">
      <c r="A477" s="320"/>
      <c r="B477" s="320"/>
      <c r="C477" s="320"/>
      <c r="D477" s="320"/>
      <c r="E477" s="320"/>
      <c r="F477" s="320"/>
      <c r="G477" s="320"/>
      <c r="H477" s="322"/>
      <c r="I477" s="322"/>
      <c r="J477" s="322"/>
      <c r="K477" s="322"/>
      <c r="L477" s="322"/>
      <c r="M477" s="322"/>
      <c r="N477" s="322"/>
      <c r="O477" s="322"/>
      <c r="P477" s="322"/>
      <c r="R477" s="277"/>
    </row>
    <row r="478" spans="1:18" s="302" customFormat="1">
      <c r="A478" s="320"/>
      <c r="B478" s="320"/>
      <c r="C478" s="320"/>
      <c r="D478" s="320"/>
      <c r="E478" s="320"/>
      <c r="F478" s="320"/>
      <c r="G478" s="320"/>
      <c r="H478" s="322"/>
      <c r="I478" s="322"/>
      <c r="J478" s="322"/>
      <c r="K478" s="322"/>
      <c r="L478" s="322"/>
      <c r="M478" s="322"/>
      <c r="N478" s="322"/>
      <c r="O478" s="322"/>
      <c r="P478" s="322"/>
      <c r="R478" s="277"/>
    </row>
    <row r="479" spans="1:18" s="302" customFormat="1">
      <c r="A479" s="320"/>
      <c r="B479" s="320"/>
      <c r="C479" s="320"/>
      <c r="D479" s="320"/>
      <c r="E479" s="320"/>
      <c r="F479" s="320"/>
      <c r="G479" s="320"/>
      <c r="H479" s="322"/>
      <c r="I479" s="322"/>
      <c r="J479" s="322"/>
      <c r="K479" s="322"/>
      <c r="L479" s="322"/>
      <c r="M479" s="322"/>
      <c r="N479" s="322"/>
      <c r="O479" s="322"/>
      <c r="P479" s="322"/>
      <c r="R479" s="277"/>
    </row>
    <row r="480" spans="1:18" s="302" customFormat="1">
      <c r="A480" s="320"/>
      <c r="B480" s="320"/>
      <c r="C480" s="320"/>
      <c r="D480" s="320"/>
      <c r="E480" s="320"/>
      <c r="F480" s="320"/>
      <c r="G480" s="320"/>
      <c r="H480" s="322"/>
      <c r="I480" s="322"/>
      <c r="J480" s="322"/>
      <c r="K480" s="322"/>
      <c r="L480" s="322"/>
      <c r="M480" s="322"/>
      <c r="N480" s="322"/>
      <c r="O480" s="322"/>
      <c r="P480" s="322"/>
      <c r="R480" s="277"/>
    </row>
    <row r="481" spans="1:18" s="302" customFormat="1">
      <c r="A481" s="320"/>
      <c r="B481" s="320"/>
      <c r="C481" s="320"/>
      <c r="D481" s="320"/>
      <c r="E481" s="320"/>
      <c r="F481" s="320"/>
      <c r="G481" s="320"/>
      <c r="H481" s="322"/>
      <c r="I481" s="322"/>
      <c r="J481" s="322"/>
      <c r="K481" s="322"/>
      <c r="L481" s="322"/>
      <c r="M481" s="322"/>
      <c r="N481" s="322"/>
      <c r="O481" s="322"/>
      <c r="P481" s="322"/>
      <c r="R481" s="277"/>
    </row>
    <row r="482" spans="1:18" s="302" customFormat="1">
      <c r="A482" s="320"/>
      <c r="B482" s="320"/>
      <c r="C482" s="320"/>
      <c r="D482" s="320"/>
      <c r="E482" s="320"/>
      <c r="F482" s="320"/>
      <c r="G482" s="320"/>
      <c r="H482" s="322"/>
      <c r="I482" s="322"/>
      <c r="J482" s="322"/>
      <c r="K482" s="322"/>
      <c r="L482" s="322"/>
      <c r="M482" s="322"/>
      <c r="N482" s="322"/>
      <c r="O482" s="322"/>
      <c r="P482" s="322"/>
      <c r="R482" s="277"/>
    </row>
    <row r="483" spans="1:18" s="302" customFormat="1">
      <c r="A483" s="320"/>
      <c r="B483" s="320"/>
      <c r="C483" s="320"/>
      <c r="D483" s="320"/>
      <c r="E483" s="320"/>
      <c r="F483" s="320"/>
      <c r="G483" s="320"/>
      <c r="H483" s="322"/>
      <c r="I483" s="322"/>
      <c r="J483" s="322"/>
      <c r="K483" s="322"/>
      <c r="L483" s="322"/>
      <c r="M483" s="322"/>
      <c r="N483" s="322"/>
      <c r="O483" s="322"/>
      <c r="P483" s="322"/>
      <c r="R483" s="277"/>
    </row>
    <row r="484" spans="1:18" s="302" customFormat="1">
      <c r="A484" s="320"/>
      <c r="B484" s="320"/>
      <c r="C484" s="320"/>
      <c r="D484" s="320"/>
      <c r="E484" s="320"/>
      <c r="F484" s="320"/>
      <c r="G484" s="320"/>
      <c r="H484" s="322"/>
      <c r="I484" s="322"/>
      <c r="J484" s="322"/>
      <c r="K484" s="322"/>
      <c r="L484" s="322"/>
      <c r="M484" s="322"/>
      <c r="N484" s="322"/>
      <c r="O484" s="322"/>
      <c r="P484" s="322"/>
      <c r="R484" s="277"/>
    </row>
    <row r="485" spans="1:18" s="302" customFormat="1">
      <c r="A485" s="320"/>
      <c r="B485" s="320"/>
      <c r="C485" s="320"/>
      <c r="D485" s="320"/>
      <c r="E485" s="320"/>
      <c r="F485" s="320"/>
      <c r="G485" s="320"/>
      <c r="H485" s="322"/>
      <c r="I485" s="322"/>
      <c r="J485" s="322"/>
      <c r="K485" s="322"/>
      <c r="L485" s="322"/>
      <c r="M485" s="322"/>
      <c r="N485" s="322"/>
      <c r="O485" s="322"/>
      <c r="P485" s="322"/>
      <c r="R485" s="277"/>
    </row>
    <row r="486" spans="1:18" s="302" customFormat="1">
      <c r="A486" s="320"/>
      <c r="B486" s="320"/>
      <c r="C486" s="320"/>
      <c r="D486" s="320"/>
      <c r="E486" s="320"/>
      <c r="F486" s="320"/>
      <c r="G486" s="320"/>
      <c r="H486" s="322"/>
      <c r="I486" s="322"/>
      <c r="J486" s="322"/>
      <c r="K486" s="322"/>
      <c r="L486" s="322"/>
      <c r="M486" s="322"/>
      <c r="N486" s="322"/>
      <c r="O486" s="322"/>
      <c r="P486" s="322"/>
      <c r="R486" s="277"/>
    </row>
    <row r="487" spans="1:18" s="302" customFormat="1">
      <c r="A487" s="319"/>
      <c r="B487" s="364"/>
      <c r="C487" s="320"/>
      <c r="D487" s="320"/>
      <c r="E487" s="320"/>
      <c r="F487" s="320"/>
      <c r="G487" s="320"/>
      <c r="H487" s="322"/>
      <c r="I487" s="322"/>
      <c r="J487" s="322"/>
      <c r="K487" s="322"/>
      <c r="L487" s="322"/>
      <c r="M487" s="322"/>
      <c r="N487" s="322"/>
      <c r="O487" s="322"/>
      <c r="P487" s="322"/>
      <c r="R487" s="277"/>
    </row>
    <row r="488" spans="1:18" s="302" customFormat="1">
      <c r="A488" s="319"/>
      <c r="B488" s="364"/>
      <c r="C488" s="320"/>
      <c r="D488" s="320"/>
      <c r="E488" s="320"/>
      <c r="F488" s="320"/>
      <c r="G488" s="320"/>
      <c r="H488" s="322"/>
      <c r="I488" s="322"/>
      <c r="J488" s="322"/>
      <c r="K488" s="322"/>
      <c r="L488" s="322"/>
      <c r="M488" s="322"/>
      <c r="N488" s="322"/>
      <c r="O488" s="322"/>
      <c r="P488" s="322"/>
      <c r="R488" s="277"/>
    </row>
    <row r="489" spans="1:18" s="302" customFormat="1">
      <c r="A489" s="319"/>
      <c r="B489" s="364"/>
      <c r="C489" s="320"/>
      <c r="D489" s="320"/>
      <c r="E489" s="320"/>
      <c r="F489" s="320"/>
      <c r="G489" s="320"/>
      <c r="H489" s="322"/>
      <c r="I489" s="322"/>
      <c r="J489" s="322"/>
      <c r="K489" s="322"/>
      <c r="L489" s="322"/>
      <c r="M489" s="322"/>
      <c r="N489" s="322"/>
      <c r="O489" s="322"/>
      <c r="P489" s="322"/>
      <c r="R489" s="277"/>
    </row>
    <row r="490" spans="1:18" s="302" customFormat="1">
      <c r="A490" s="319"/>
      <c r="B490" s="364"/>
      <c r="C490" s="320"/>
      <c r="D490" s="320"/>
      <c r="E490" s="320"/>
      <c r="F490" s="320"/>
      <c r="G490" s="320"/>
      <c r="H490" s="322"/>
      <c r="I490" s="322"/>
      <c r="J490" s="322"/>
      <c r="K490" s="322"/>
      <c r="L490" s="322"/>
      <c r="M490" s="322"/>
      <c r="N490" s="322"/>
      <c r="O490" s="322"/>
      <c r="P490" s="322"/>
      <c r="R490" s="277"/>
    </row>
    <row r="491" spans="1:18" s="302" customFormat="1">
      <c r="A491" s="319"/>
      <c r="B491" s="364"/>
      <c r="C491" s="320"/>
      <c r="D491" s="320"/>
      <c r="E491" s="320"/>
      <c r="F491" s="320"/>
      <c r="G491" s="320"/>
      <c r="H491" s="322"/>
      <c r="I491" s="322"/>
      <c r="J491" s="322"/>
      <c r="K491" s="322"/>
      <c r="L491" s="322"/>
      <c r="M491" s="322"/>
      <c r="N491" s="322"/>
      <c r="O491" s="322"/>
      <c r="P491" s="322"/>
      <c r="R491" s="277"/>
    </row>
    <row r="492" spans="1:18" s="302" customFormat="1">
      <c r="A492" s="319"/>
      <c r="B492" s="364"/>
      <c r="C492" s="320"/>
      <c r="D492" s="320"/>
      <c r="E492" s="320"/>
      <c r="F492" s="320"/>
      <c r="G492" s="320"/>
      <c r="H492" s="322"/>
      <c r="I492" s="322"/>
      <c r="J492" s="322"/>
      <c r="K492" s="322"/>
      <c r="L492" s="322"/>
      <c r="M492" s="322"/>
      <c r="N492" s="322"/>
      <c r="O492" s="322"/>
      <c r="P492" s="322"/>
      <c r="R492" s="277"/>
    </row>
    <row r="493" spans="1:18" s="302" customFormat="1">
      <c r="E493" s="322"/>
      <c r="F493" s="322"/>
      <c r="G493" s="322"/>
      <c r="H493" s="322"/>
      <c r="I493" s="322"/>
      <c r="J493" s="322"/>
      <c r="K493" s="322"/>
      <c r="L493" s="322"/>
      <c r="M493" s="322"/>
      <c r="N493" s="322"/>
      <c r="O493" s="322"/>
      <c r="P493" s="322"/>
      <c r="R493" s="277"/>
    </row>
    <row r="494" spans="1:18" s="302" customFormat="1">
      <c r="E494" s="322"/>
      <c r="F494" s="322"/>
      <c r="G494" s="322"/>
      <c r="H494" s="322"/>
      <c r="I494" s="322"/>
      <c r="J494" s="322"/>
      <c r="K494" s="322"/>
      <c r="L494" s="322"/>
      <c r="M494" s="322"/>
      <c r="N494" s="322"/>
      <c r="O494" s="322"/>
      <c r="P494" s="322"/>
      <c r="R494" s="277"/>
    </row>
    <row r="495" spans="1:18" s="302" customFormat="1">
      <c r="E495" s="322"/>
      <c r="F495" s="322"/>
      <c r="G495" s="322"/>
      <c r="H495" s="322"/>
      <c r="I495" s="322"/>
      <c r="J495" s="322"/>
      <c r="K495" s="322"/>
      <c r="L495" s="322"/>
      <c r="M495" s="322"/>
      <c r="N495" s="322"/>
      <c r="O495" s="322"/>
      <c r="P495" s="322"/>
      <c r="R495" s="277"/>
    </row>
    <row r="496" spans="1:18" s="302" customFormat="1">
      <c r="E496" s="322"/>
      <c r="F496" s="322"/>
      <c r="G496" s="322"/>
      <c r="H496" s="322"/>
      <c r="I496" s="322"/>
      <c r="J496" s="322"/>
      <c r="K496" s="322"/>
      <c r="L496" s="322"/>
      <c r="M496" s="322"/>
      <c r="N496" s="322"/>
      <c r="O496" s="322"/>
      <c r="P496" s="322"/>
      <c r="R496" s="277"/>
    </row>
    <row r="497" spans="1:18" s="302" customFormat="1">
      <c r="E497" s="322"/>
      <c r="F497" s="322"/>
      <c r="G497" s="322"/>
      <c r="H497" s="322"/>
      <c r="I497" s="322"/>
      <c r="J497" s="322"/>
      <c r="K497" s="322"/>
      <c r="L497" s="322"/>
      <c r="M497" s="322"/>
      <c r="N497" s="322"/>
      <c r="O497" s="322"/>
      <c r="P497" s="322"/>
      <c r="R497" s="277"/>
    </row>
    <row r="498" spans="1:18" s="302" customFormat="1">
      <c r="E498" s="322"/>
      <c r="F498" s="322"/>
      <c r="G498" s="322"/>
      <c r="H498" s="322"/>
      <c r="I498" s="322"/>
      <c r="J498" s="322"/>
      <c r="K498" s="322"/>
      <c r="L498" s="322"/>
      <c r="M498" s="322"/>
      <c r="N498" s="322"/>
      <c r="O498" s="322"/>
      <c r="P498" s="322"/>
      <c r="R498" s="277"/>
    </row>
    <row r="499" spans="1:18" s="302" customFormat="1">
      <c r="E499" s="322"/>
      <c r="F499" s="322"/>
      <c r="G499" s="322"/>
      <c r="H499" s="322"/>
      <c r="I499" s="322"/>
      <c r="J499" s="322"/>
      <c r="K499" s="322"/>
      <c r="L499" s="322"/>
      <c r="M499" s="322"/>
      <c r="N499" s="322"/>
      <c r="O499" s="322"/>
      <c r="P499" s="322"/>
      <c r="R499" s="277"/>
    </row>
    <row r="500" spans="1:18" s="302" customFormat="1">
      <c r="A500" s="354" t="s">
        <v>175</v>
      </c>
      <c r="B500" s="355">
        <f>1+B450</f>
        <v>12</v>
      </c>
      <c r="C500" s="300"/>
      <c r="D500" s="300"/>
      <c r="E500" s="359"/>
      <c r="F500" s="359"/>
      <c r="G500" s="359"/>
      <c r="H500" s="322"/>
      <c r="I500" s="322"/>
      <c r="J500" s="322"/>
      <c r="K500" s="322"/>
      <c r="L500" s="322"/>
      <c r="M500" s="322"/>
      <c r="N500" s="322"/>
      <c r="O500" s="322"/>
      <c r="P500" s="322"/>
      <c r="R500" s="277"/>
    </row>
    <row r="501" spans="1:18" s="302" customFormat="1" ht="12.75" customHeight="1">
      <c r="A501" s="442" t="s">
        <v>245</v>
      </c>
      <c r="B501" s="454"/>
      <c r="C501" s="454"/>
      <c r="D501" s="454"/>
      <c r="E501" s="454"/>
      <c r="F501" s="454"/>
      <c r="G501" s="455"/>
      <c r="H501" s="322"/>
      <c r="I501" s="322"/>
      <c r="J501" s="322"/>
      <c r="K501" s="322"/>
      <c r="L501" s="322"/>
      <c r="M501" s="322"/>
      <c r="N501" s="322"/>
      <c r="O501" s="322"/>
      <c r="P501" s="322"/>
      <c r="R501" s="277"/>
    </row>
    <row r="502" spans="1:18" s="302" customFormat="1">
      <c r="A502" s="363" t="s">
        <v>452</v>
      </c>
      <c r="B502" s="363" t="s">
        <v>142</v>
      </c>
      <c r="C502" s="363" t="s">
        <v>61</v>
      </c>
      <c r="D502" s="363" t="s">
        <v>62</v>
      </c>
      <c r="E502" s="363" t="s">
        <v>20</v>
      </c>
      <c r="F502" s="363" t="s">
        <v>21</v>
      </c>
      <c r="G502" s="363" t="s">
        <v>22</v>
      </c>
      <c r="H502" s="322"/>
      <c r="I502" s="322"/>
      <c r="J502" s="322"/>
      <c r="K502" s="322"/>
      <c r="L502" s="322"/>
      <c r="M502" s="322"/>
      <c r="N502" s="322"/>
      <c r="O502" s="322"/>
      <c r="P502" s="322"/>
      <c r="R502" s="277"/>
    </row>
    <row r="503" spans="1:18" s="302" customFormat="1">
      <c r="A503" s="320"/>
      <c r="B503" s="320"/>
      <c r="C503" s="320"/>
      <c r="D503" s="320"/>
      <c r="E503" s="320"/>
      <c r="F503" s="320"/>
      <c r="G503" s="320"/>
      <c r="H503" s="322"/>
      <c r="I503" s="322"/>
      <c r="J503" s="322"/>
      <c r="K503" s="322"/>
      <c r="L503" s="322"/>
      <c r="M503" s="322"/>
      <c r="N503" s="322"/>
      <c r="O503" s="322"/>
      <c r="P503" s="322"/>
      <c r="R503" s="277"/>
    </row>
    <row r="504" spans="1:18" s="302" customFormat="1">
      <c r="A504" s="320"/>
      <c r="B504" s="320"/>
      <c r="C504" s="320"/>
      <c r="D504" s="320"/>
      <c r="E504" s="320"/>
      <c r="F504" s="320"/>
      <c r="G504" s="320"/>
      <c r="H504" s="322"/>
      <c r="I504" s="322"/>
      <c r="J504" s="322"/>
      <c r="K504" s="322"/>
      <c r="L504" s="322"/>
      <c r="M504" s="322"/>
      <c r="N504" s="322"/>
      <c r="R504" s="277"/>
    </row>
    <row r="505" spans="1:18" s="302" customFormat="1">
      <c r="A505" s="320"/>
      <c r="B505" s="320"/>
      <c r="C505" s="320"/>
      <c r="D505" s="320"/>
      <c r="E505" s="320"/>
      <c r="F505" s="320"/>
      <c r="G505" s="320"/>
      <c r="H505" s="322"/>
      <c r="I505" s="322"/>
      <c r="J505" s="322"/>
      <c r="K505" s="322"/>
      <c r="L505" s="322"/>
      <c r="M505" s="322"/>
      <c r="N505" s="322"/>
      <c r="R505" s="277"/>
    </row>
    <row r="506" spans="1:18" s="302" customFormat="1">
      <c r="A506" s="320"/>
      <c r="B506" s="320"/>
      <c r="C506" s="320"/>
      <c r="D506" s="320"/>
      <c r="E506" s="320"/>
      <c r="F506" s="320"/>
      <c r="G506" s="320"/>
      <c r="H506" s="322"/>
      <c r="I506" s="322"/>
      <c r="J506" s="322"/>
      <c r="K506" s="322"/>
      <c r="L506" s="322"/>
      <c r="M506" s="322"/>
      <c r="N506" s="322"/>
      <c r="R506" s="277"/>
    </row>
    <row r="507" spans="1:18" s="302" customFormat="1">
      <c r="A507" s="320"/>
      <c r="B507" s="320"/>
      <c r="C507" s="320"/>
      <c r="D507" s="320"/>
      <c r="E507" s="320"/>
      <c r="F507" s="320"/>
      <c r="G507" s="320"/>
      <c r="H507" s="322"/>
      <c r="I507" s="322"/>
      <c r="J507" s="322"/>
      <c r="K507" s="322"/>
      <c r="L507" s="322"/>
      <c r="M507" s="322"/>
      <c r="N507" s="322"/>
      <c r="R507" s="277"/>
    </row>
    <row r="508" spans="1:18" s="302" customFormat="1">
      <c r="A508" s="320"/>
      <c r="B508" s="320"/>
      <c r="C508" s="320"/>
      <c r="D508" s="320"/>
      <c r="E508" s="320"/>
      <c r="F508" s="320"/>
      <c r="G508" s="320"/>
      <c r="H508" s="322"/>
      <c r="I508" s="322"/>
      <c r="J508" s="322"/>
      <c r="K508" s="322"/>
      <c r="L508" s="322"/>
      <c r="M508" s="322"/>
      <c r="N508" s="322"/>
      <c r="R508" s="277"/>
    </row>
    <row r="509" spans="1:18" s="302" customFormat="1">
      <c r="A509" s="320"/>
      <c r="B509" s="320"/>
      <c r="C509" s="320"/>
      <c r="D509" s="320"/>
      <c r="E509" s="320"/>
      <c r="F509" s="320"/>
      <c r="G509" s="320"/>
      <c r="H509" s="322"/>
      <c r="I509" s="322"/>
      <c r="J509" s="322"/>
      <c r="K509" s="322"/>
      <c r="L509" s="322"/>
      <c r="M509" s="322"/>
      <c r="N509" s="322"/>
      <c r="R509" s="277"/>
    </row>
    <row r="510" spans="1:18" s="302" customFormat="1">
      <c r="A510" s="320"/>
      <c r="B510" s="320"/>
      <c r="C510" s="320"/>
      <c r="D510" s="320"/>
      <c r="E510" s="320"/>
      <c r="F510" s="320"/>
      <c r="G510" s="320"/>
      <c r="H510" s="322"/>
      <c r="I510" s="322"/>
      <c r="J510" s="322"/>
      <c r="K510" s="322"/>
      <c r="L510" s="322"/>
      <c r="M510" s="322"/>
      <c r="N510" s="322"/>
      <c r="R510" s="277"/>
    </row>
    <row r="511" spans="1:18" s="302" customFormat="1">
      <c r="A511" s="320"/>
      <c r="B511" s="320"/>
      <c r="C511" s="320"/>
      <c r="D511" s="320"/>
      <c r="E511" s="320"/>
      <c r="F511" s="320"/>
      <c r="G511" s="320"/>
      <c r="H511" s="322"/>
      <c r="I511" s="322"/>
      <c r="J511" s="322"/>
      <c r="K511" s="322"/>
      <c r="L511" s="322"/>
      <c r="M511" s="322"/>
      <c r="N511" s="322"/>
      <c r="R511" s="277"/>
    </row>
    <row r="512" spans="1:18" s="302" customFormat="1">
      <c r="A512" s="320"/>
      <c r="B512" s="320"/>
      <c r="C512" s="320"/>
      <c r="D512" s="320"/>
      <c r="E512" s="320"/>
      <c r="F512" s="320"/>
      <c r="G512" s="320"/>
      <c r="H512" s="322"/>
      <c r="I512" s="322"/>
      <c r="J512" s="322"/>
      <c r="K512" s="322"/>
      <c r="L512" s="322"/>
      <c r="M512" s="322"/>
      <c r="N512" s="322"/>
      <c r="R512" s="277"/>
    </row>
    <row r="513" spans="1:18" s="302" customFormat="1">
      <c r="A513" s="320"/>
      <c r="B513" s="320"/>
      <c r="C513" s="320"/>
      <c r="D513" s="320"/>
      <c r="E513" s="320"/>
      <c r="F513" s="320"/>
      <c r="G513" s="320"/>
      <c r="H513" s="322"/>
      <c r="I513" s="322"/>
      <c r="J513" s="322"/>
      <c r="K513" s="322"/>
      <c r="L513" s="322"/>
      <c r="M513" s="322"/>
      <c r="N513" s="322"/>
      <c r="R513" s="277"/>
    </row>
    <row r="514" spans="1:18" s="302" customFormat="1">
      <c r="A514" s="320"/>
      <c r="B514" s="320"/>
      <c r="C514" s="320"/>
      <c r="D514" s="320"/>
      <c r="E514" s="320"/>
      <c r="F514" s="320"/>
      <c r="G514" s="320"/>
      <c r="H514" s="322"/>
      <c r="I514" s="322"/>
      <c r="J514" s="322"/>
      <c r="K514" s="322"/>
      <c r="L514" s="322"/>
      <c r="M514" s="322"/>
      <c r="N514" s="322"/>
      <c r="R514" s="277"/>
    </row>
    <row r="515" spans="1:18" s="302" customFormat="1">
      <c r="A515" s="320"/>
      <c r="B515" s="320"/>
      <c r="C515" s="320"/>
      <c r="D515" s="320"/>
      <c r="E515" s="320"/>
      <c r="F515" s="320"/>
      <c r="G515" s="320"/>
      <c r="H515" s="322"/>
      <c r="I515" s="322"/>
      <c r="J515" s="322"/>
      <c r="K515" s="322"/>
      <c r="L515" s="322"/>
      <c r="M515" s="322"/>
      <c r="N515" s="322"/>
      <c r="R515" s="277"/>
    </row>
    <row r="516" spans="1:18" s="302" customFormat="1">
      <c r="A516" s="320"/>
      <c r="B516" s="320"/>
      <c r="C516" s="320"/>
      <c r="D516" s="320"/>
      <c r="E516" s="320"/>
      <c r="F516" s="320"/>
      <c r="G516" s="320"/>
      <c r="H516" s="322"/>
      <c r="I516" s="322"/>
      <c r="J516" s="322"/>
      <c r="K516" s="322"/>
      <c r="L516" s="322"/>
      <c r="M516" s="322"/>
      <c r="N516" s="322"/>
      <c r="R516" s="277"/>
    </row>
    <row r="517" spans="1:18" s="302" customFormat="1">
      <c r="A517" s="320"/>
      <c r="B517" s="320"/>
      <c r="C517" s="320"/>
      <c r="D517" s="320"/>
      <c r="E517" s="320"/>
      <c r="F517" s="320"/>
      <c r="G517" s="320"/>
      <c r="H517" s="322"/>
      <c r="I517" s="322"/>
      <c r="J517" s="322"/>
      <c r="K517" s="322"/>
      <c r="L517" s="322"/>
      <c r="M517" s="322"/>
      <c r="N517" s="322"/>
      <c r="R517" s="277"/>
    </row>
    <row r="518" spans="1:18" s="302" customFormat="1">
      <c r="A518" s="320"/>
      <c r="B518" s="320"/>
      <c r="C518" s="320"/>
      <c r="D518" s="320"/>
      <c r="E518" s="320"/>
      <c r="F518" s="320"/>
      <c r="G518" s="320"/>
      <c r="H518" s="322"/>
      <c r="I518" s="322"/>
      <c r="J518" s="322"/>
      <c r="K518" s="322"/>
      <c r="L518" s="322"/>
      <c r="M518" s="322"/>
      <c r="N518" s="322"/>
      <c r="R518" s="277"/>
    </row>
    <row r="519" spans="1:18" s="302" customFormat="1">
      <c r="A519" s="320"/>
      <c r="B519" s="320"/>
      <c r="C519" s="320"/>
      <c r="D519" s="320"/>
      <c r="E519" s="320"/>
      <c r="F519" s="320"/>
      <c r="G519" s="320"/>
      <c r="H519" s="322"/>
      <c r="I519" s="322"/>
      <c r="J519" s="322"/>
      <c r="K519" s="322"/>
      <c r="L519" s="322"/>
      <c r="M519" s="322"/>
      <c r="N519" s="322"/>
      <c r="R519" s="277"/>
    </row>
    <row r="520" spans="1:18" s="302" customFormat="1">
      <c r="A520" s="320"/>
      <c r="B520" s="320"/>
      <c r="C520" s="320"/>
      <c r="D520" s="320"/>
      <c r="E520" s="320"/>
      <c r="F520" s="320"/>
      <c r="G520" s="320"/>
      <c r="H520" s="322"/>
      <c r="I520" s="322"/>
      <c r="J520" s="322"/>
      <c r="K520" s="322"/>
      <c r="L520" s="322"/>
      <c r="M520" s="322"/>
      <c r="N520" s="322"/>
      <c r="R520" s="277"/>
    </row>
    <row r="521" spans="1:18" s="302" customFormat="1">
      <c r="A521" s="320"/>
      <c r="B521" s="320"/>
      <c r="C521" s="320"/>
      <c r="D521" s="320"/>
      <c r="E521" s="320"/>
      <c r="F521" s="320"/>
      <c r="G521" s="320"/>
      <c r="H521" s="322"/>
      <c r="I521" s="322"/>
      <c r="J521" s="322"/>
      <c r="K521" s="322"/>
      <c r="L521" s="322"/>
      <c r="M521" s="322"/>
      <c r="N521" s="322"/>
      <c r="R521" s="277"/>
    </row>
    <row r="522" spans="1:18" s="302" customFormat="1">
      <c r="A522" s="320"/>
      <c r="B522" s="320"/>
      <c r="C522" s="320"/>
      <c r="D522" s="320"/>
      <c r="E522" s="320"/>
      <c r="F522" s="320"/>
      <c r="G522" s="320"/>
      <c r="H522" s="322"/>
      <c r="I522" s="322"/>
      <c r="J522" s="322"/>
      <c r="K522" s="322"/>
      <c r="L522" s="322"/>
      <c r="M522" s="322"/>
      <c r="N522" s="322"/>
      <c r="R522" s="277"/>
    </row>
    <row r="523" spans="1:18" s="302" customFormat="1">
      <c r="A523" s="320"/>
      <c r="B523" s="320"/>
      <c r="C523" s="320"/>
      <c r="D523" s="320"/>
      <c r="E523" s="320"/>
      <c r="F523" s="320"/>
      <c r="G523" s="320"/>
      <c r="H523" s="322"/>
      <c r="I523" s="322"/>
      <c r="J523" s="322"/>
      <c r="K523" s="322"/>
      <c r="L523" s="322"/>
      <c r="M523" s="322"/>
      <c r="N523" s="322"/>
      <c r="R523" s="277"/>
    </row>
    <row r="524" spans="1:18" s="302" customFormat="1">
      <c r="A524" s="320"/>
      <c r="B524" s="320"/>
      <c r="C524" s="320"/>
      <c r="D524" s="320"/>
      <c r="E524" s="320"/>
      <c r="F524" s="320"/>
      <c r="G524" s="320"/>
      <c r="H524" s="322"/>
      <c r="I524" s="322"/>
      <c r="J524" s="322"/>
      <c r="K524" s="322"/>
      <c r="L524" s="322"/>
      <c r="M524" s="322"/>
      <c r="N524" s="322"/>
      <c r="R524" s="277"/>
    </row>
    <row r="525" spans="1:18" s="302" customFormat="1">
      <c r="A525" s="320"/>
      <c r="B525" s="320"/>
      <c r="C525" s="320"/>
      <c r="D525" s="320"/>
      <c r="E525" s="320"/>
      <c r="F525" s="320"/>
      <c r="G525" s="320"/>
      <c r="H525" s="322"/>
      <c r="I525" s="322"/>
      <c r="J525" s="322"/>
      <c r="K525" s="322"/>
      <c r="L525" s="322"/>
      <c r="M525" s="322"/>
      <c r="N525" s="322"/>
      <c r="R525" s="277"/>
    </row>
    <row r="526" spans="1:18" s="302" customFormat="1">
      <c r="A526" s="320"/>
      <c r="B526" s="320"/>
      <c r="C526" s="320"/>
      <c r="D526" s="320"/>
      <c r="E526" s="320"/>
      <c r="F526" s="320"/>
      <c r="G526" s="320"/>
      <c r="H526" s="322"/>
      <c r="I526" s="322"/>
      <c r="J526" s="322"/>
      <c r="K526" s="322"/>
      <c r="L526" s="322"/>
      <c r="M526" s="322"/>
      <c r="N526" s="322"/>
      <c r="R526" s="277"/>
    </row>
    <row r="527" spans="1:18" s="302" customFormat="1">
      <c r="A527" s="320"/>
      <c r="B527" s="320"/>
      <c r="C527" s="320"/>
      <c r="D527" s="320"/>
      <c r="E527" s="320"/>
      <c r="F527" s="320"/>
      <c r="G527" s="320"/>
      <c r="H527" s="322"/>
      <c r="I527" s="322"/>
      <c r="J527" s="322"/>
      <c r="K527" s="322"/>
      <c r="L527" s="322"/>
      <c r="M527" s="322"/>
      <c r="N527" s="322"/>
      <c r="R527" s="277"/>
    </row>
    <row r="528" spans="1:18" s="302" customFormat="1">
      <c r="A528" s="320"/>
      <c r="B528" s="320"/>
      <c r="C528" s="320"/>
      <c r="D528" s="320"/>
      <c r="E528" s="320"/>
      <c r="F528" s="320"/>
      <c r="G528" s="320"/>
      <c r="H528" s="322"/>
      <c r="I528" s="322"/>
      <c r="J528" s="322"/>
      <c r="K528" s="322"/>
      <c r="L528" s="322"/>
      <c r="M528" s="322"/>
      <c r="N528" s="322"/>
      <c r="R528" s="277"/>
    </row>
    <row r="529" spans="1:18" s="302" customFormat="1">
      <c r="A529" s="320"/>
      <c r="B529" s="320"/>
      <c r="C529" s="320"/>
      <c r="D529" s="320"/>
      <c r="E529" s="320"/>
      <c r="F529" s="320"/>
      <c r="G529" s="320"/>
      <c r="H529" s="322"/>
      <c r="I529" s="322"/>
      <c r="J529" s="322"/>
      <c r="K529" s="322"/>
      <c r="L529" s="322"/>
      <c r="M529" s="322"/>
      <c r="N529" s="322"/>
      <c r="R529" s="277"/>
    </row>
    <row r="530" spans="1:18" s="302" customFormat="1">
      <c r="A530" s="320"/>
      <c r="B530" s="320"/>
      <c r="C530" s="320"/>
      <c r="D530" s="320"/>
      <c r="E530" s="320"/>
      <c r="F530" s="320"/>
      <c r="G530" s="320"/>
      <c r="H530" s="322"/>
      <c r="I530" s="322"/>
      <c r="J530" s="322"/>
      <c r="K530" s="322"/>
      <c r="L530" s="322"/>
      <c r="M530" s="322"/>
      <c r="N530" s="322"/>
      <c r="R530" s="277"/>
    </row>
    <row r="531" spans="1:18" s="302" customFormat="1">
      <c r="A531" s="320"/>
      <c r="B531" s="320"/>
      <c r="C531" s="320"/>
      <c r="D531" s="320"/>
      <c r="E531" s="320"/>
      <c r="F531" s="320"/>
      <c r="G531" s="320"/>
      <c r="H531" s="322"/>
      <c r="I531" s="322"/>
      <c r="J531" s="322"/>
      <c r="K531" s="322"/>
      <c r="L531" s="322"/>
      <c r="M531" s="322"/>
      <c r="N531" s="322"/>
      <c r="R531" s="277"/>
    </row>
    <row r="532" spans="1:18" s="302" customFormat="1">
      <c r="A532" s="320"/>
      <c r="B532" s="320"/>
      <c r="C532" s="320"/>
      <c r="D532" s="320"/>
      <c r="E532" s="320"/>
      <c r="F532" s="320"/>
      <c r="G532" s="320"/>
      <c r="H532" s="322"/>
      <c r="I532" s="322"/>
      <c r="J532" s="322"/>
      <c r="K532" s="322"/>
      <c r="L532" s="322"/>
      <c r="M532" s="322"/>
      <c r="N532" s="322"/>
      <c r="R532" s="277"/>
    </row>
    <row r="533" spans="1:18" s="302" customFormat="1">
      <c r="A533" s="320"/>
      <c r="B533" s="320"/>
      <c r="C533" s="320"/>
      <c r="D533" s="320"/>
      <c r="E533" s="320"/>
      <c r="F533" s="320"/>
      <c r="G533" s="320"/>
      <c r="H533" s="322"/>
      <c r="I533" s="322"/>
      <c r="J533" s="322"/>
      <c r="K533" s="322"/>
      <c r="L533" s="322"/>
      <c r="M533" s="322"/>
      <c r="N533" s="322"/>
      <c r="R533" s="277"/>
    </row>
    <row r="534" spans="1:18" s="302" customFormat="1">
      <c r="A534" s="320"/>
      <c r="B534" s="320"/>
      <c r="C534" s="320"/>
      <c r="D534" s="320"/>
      <c r="E534" s="320"/>
      <c r="F534" s="320"/>
      <c r="G534" s="320"/>
      <c r="H534" s="322"/>
      <c r="I534" s="322"/>
      <c r="J534" s="322"/>
      <c r="K534" s="322"/>
      <c r="L534" s="322"/>
      <c r="M534" s="322"/>
      <c r="N534" s="322"/>
      <c r="R534" s="277"/>
    </row>
    <row r="535" spans="1:18" s="302" customFormat="1">
      <c r="A535" s="320"/>
      <c r="B535" s="320"/>
      <c r="C535" s="320"/>
      <c r="D535" s="320"/>
      <c r="E535" s="320"/>
      <c r="F535" s="320"/>
      <c r="G535" s="320"/>
      <c r="H535" s="322"/>
      <c r="I535" s="322"/>
      <c r="J535" s="322"/>
      <c r="K535" s="322"/>
      <c r="L535" s="322"/>
      <c r="M535" s="322"/>
      <c r="N535" s="322"/>
      <c r="R535" s="277"/>
    </row>
    <row r="536" spans="1:18" s="302" customFormat="1">
      <c r="A536" s="320"/>
      <c r="B536" s="320"/>
      <c r="C536" s="320"/>
      <c r="D536" s="320"/>
      <c r="E536" s="320"/>
      <c r="F536" s="320"/>
      <c r="G536" s="320"/>
      <c r="H536" s="322"/>
      <c r="I536" s="322"/>
      <c r="J536" s="322"/>
      <c r="K536" s="322"/>
      <c r="L536" s="322"/>
      <c r="M536" s="322"/>
      <c r="N536" s="322"/>
      <c r="R536" s="277"/>
    </row>
    <row r="537" spans="1:18" s="302" customFormat="1">
      <c r="A537" s="319"/>
      <c r="B537" s="364"/>
      <c r="C537" s="320"/>
      <c r="D537" s="320"/>
      <c r="E537" s="320"/>
      <c r="F537" s="320"/>
      <c r="G537" s="320"/>
      <c r="H537" s="322"/>
      <c r="I537" s="322"/>
      <c r="J537" s="322"/>
      <c r="K537" s="322"/>
      <c r="L537" s="322"/>
      <c r="M537" s="322"/>
      <c r="N537" s="322"/>
      <c r="R537" s="277"/>
    </row>
    <row r="538" spans="1:18" s="302" customFormat="1">
      <c r="A538" s="319"/>
      <c r="B538" s="364"/>
      <c r="C538" s="320"/>
      <c r="D538" s="320"/>
      <c r="E538" s="320"/>
      <c r="F538" s="320"/>
      <c r="G538" s="320"/>
      <c r="H538" s="322"/>
      <c r="I538" s="322"/>
      <c r="J538" s="322"/>
      <c r="K538" s="322"/>
      <c r="L538" s="322"/>
      <c r="M538" s="322"/>
      <c r="N538" s="322"/>
      <c r="R538" s="277"/>
    </row>
    <row r="539" spans="1:18" s="302" customFormat="1">
      <c r="A539" s="319"/>
      <c r="B539" s="364"/>
      <c r="C539" s="320"/>
      <c r="D539" s="320"/>
      <c r="E539" s="320"/>
      <c r="F539" s="320"/>
      <c r="G539" s="320"/>
      <c r="H539" s="322"/>
      <c r="I539" s="322"/>
      <c r="J539" s="322"/>
      <c r="K539" s="322"/>
      <c r="L539" s="322"/>
      <c r="M539" s="322"/>
      <c r="N539" s="322"/>
      <c r="R539" s="277"/>
    </row>
    <row r="540" spans="1:18" s="302" customFormat="1">
      <c r="A540" s="319"/>
      <c r="B540" s="364"/>
      <c r="C540" s="320"/>
      <c r="D540" s="320"/>
      <c r="E540" s="320"/>
      <c r="F540" s="320"/>
      <c r="G540" s="320"/>
      <c r="H540" s="322"/>
      <c r="I540" s="322"/>
      <c r="J540" s="322"/>
      <c r="K540" s="322"/>
      <c r="L540" s="322"/>
      <c r="M540" s="322"/>
      <c r="N540" s="322"/>
      <c r="R540" s="277"/>
    </row>
    <row r="541" spans="1:18" s="302" customFormat="1">
      <c r="A541" s="319"/>
      <c r="B541" s="364"/>
      <c r="C541" s="320"/>
      <c r="D541" s="320"/>
      <c r="E541" s="320"/>
      <c r="F541" s="320"/>
      <c r="G541" s="320"/>
      <c r="H541" s="322"/>
      <c r="I541" s="322"/>
      <c r="J541" s="322"/>
      <c r="K541" s="322"/>
      <c r="L541" s="322"/>
      <c r="M541" s="322"/>
      <c r="N541" s="322"/>
      <c r="R541" s="277"/>
    </row>
    <row r="542" spans="1:18" s="302" customFormat="1">
      <c r="A542" s="319"/>
      <c r="B542" s="364"/>
      <c r="C542" s="320"/>
      <c r="D542" s="320"/>
      <c r="E542" s="320"/>
      <c r="F542" s="320"/>
      <c r="G542" s="320"/>
      <c r="H542" s="322"/>
      <c r="I542" s="322"/>
      <c r="J542" s="322"/>
      <c r="K542" s="322"/>
      <c r="L542" s="322"/>
      <c r="M542" s="322"/>
      <c r="N542" s="322"/>
      <c r="R542" s="277"/>
    </row>
    <row r="543" spans="1:18" s="302" customFormat="1">
      <c r="E543" s="322"/>
      <c r="F543" s="322"/>
      <c r="G543" s="322"/>
      <c r="H543" s="322"/>
      <c r="I543" s="322"/>
      <c r="J543" s="322"/>
      <c r="K543" s="322"/>
      <c r="L543" s="322"/>
      <c r="M543" s="322"/>
      <c r="N543" s="322"/>
      <c r="R543" s="277"/>
    </row>
    <row r="544" spans="1:18" s="302" customFormat="1">
      <c r="E544" s="322"/>
      <c r="F544" s="322"/>
      <c r="G544" s="322"/>
      <c r="H544" s="322"/>
      <c r="I544" s="322"/>
      <c r="J544" s="322"/>
      <c r="K544" s="322"/>
      <c r="L544" s="322"/>
      <c r="M544" s="322"/>
      <c r="N544" s="322"/>
      <c r="R544" s="277"/>
    </row>
    <row r="545" spans="1:18" s="302" customFormat="1">
      <c r="E545" s="322"/>
      <c r="F545" s="322"/>
      <c r="G545" s="322"/>
      <c r="H545" s="322"/>
      <c r="I545" s="322"/>
      <c r="J545" s="322"/>
      <c r="K545" s="322"/>
      <c r="L545" s="322"/>
      <c r="M545" s="322"/>
      <c r="N545" s="322"/>
      <c r="R545" s="277"/>
    </row>
    <row r="546" spans="1:18" s="302" customFormat="1">
      <c r="E546" s="322"/>
      <c r="F546" s="322"/>
      <c r="G546" s="322"/>
      <c r="H546" s="322"/>
      <c r="I546" s="322"/>
      <c r="J546" s="322"/>
      <c r="K546" s="322"/>
      <c r="L546" s="322"/>
      <c r="M546" s="322"/>
      <c r="N546" s="322"/>
      <c r="R546" s="277"/>
    </row>
    <row r="547" spans="1:18" s="302" customFormat="1">
      <c r="E547" s="322"/>
      <c r="F547" s="322"/>
      <c r="G547" s="322"/>
      <c r="H547" s="322"/>
      <c r="I547" s="322"/>
      <c r="J547" s="322"/>
      <c r="K547" s="322"/>
      <c r="L547" s="322"/>
      <c r="M547" s="322"/>
      <c r="N547" s="322"/>
      <c r="R547" s="277"/>
    </row>
    <row r="548" spans="1:18" s="302" customFormat="1">
      <c r="E548" s="322"/>
      <c r="F548" s="361" t="s">
        <v>460</v>
      </c>
      <c r="G548" s="322"/>
      <c r="H548" s="322"/>
      <c r="I548" s="322"/>
      <c r="J548" s="322"/>
      <c r="K548" s="322"/>
      <c r="L548" s="322"/>
      <c r="M548" s="322"/>
      <c r="N548" s="322"/>
      <c r="R548" s="277"/>
    </row>
    <row r="549" spans="1:18" s="302" customFormat="1">
      <c r="E549" s="322"/>
      <c r="F549" s="322"/>
      <c r="G549" s="322"/>
      <c r="H549" s="322"/>
      <c r="I549" s="322"/>
      <c r="J549" s="322"/>
      <c r="K549" s="322"/>
      <c r="L549" s="322"/>
      <c r="M549" s="322"/>
      <c r="N549" s="322"/>
      <c r="R549" s="277"/>
    </row>
    <row r="550" spans="1:18" s="300" customFormat="1">
      <c r="A550" s="354" t="s">
        <v>175</v>
      </c>
      <c r="B550" s="355">
        <f>1+B500</f>
        <v>13</v>
      </c>
      <c r="E550" s="359"/>
      <c r="F550" s="359"/>
      <c r="G550" s="359"/>
      <c r="H550" s="359"/>
      <c r="I550" s="359"/>
      <c r="J550" s="359"/>
      <c r="K550" s="359"/>
      <c r="L550" s="359"/>
      <c r="M550" s="359"/>
      <c r="N550" s="359"/>
      <c r="R550" s="299"/>
    </row>
    <row r="551" spans="1:18" s="300" customFormat="1" ht="12.75" customHeight="1">
      <c r="A551" s="442" t="s">
        <v>239</v>
      </c>
      <c r="B551" s="454"/>
      <c r="C551" s="454"/>
      <c r="D551" s="454"/>
      <c r="E551" s="454"/>
      <c r="F551" s="454"/>
      <c r="G551" s="455"/>
      <c r="H551" s="359"/>
      <c r="I551" s="442" t="s">
        <v>461</v>
      </c>
      <c r="J551" s="443"/>
      <c r="K551" s="443"/>
      <c r="L551" s="443"/>
      <c r="M551" s="443"/>
      <c r="N551" s="443"/>
      <c r="O551" s="444"/>
      <c r="P551" s="302"/>
      <c r="R551" s="299"/>
    </row>
    <row r="552" spans="1:18" s="302" customFormat="1">
      <c r="A552" s="363" t="s">
        <v>452</v>
      </c>
      <c r="B552" s="363" t="s">
        <v>142</v>
      </c>
      <c r="C552" s="363" t="s">
        <v>61</v>
      </c>
      <c r="D552" s="363" t="s">
        <v>62</v>
      </c>
      <c r="E552" s="363" t="s">
        <v>20</v>
      </c>
      <c r="F552" s="363" t="s">
        <v>21</v>
      </c>
      <c r="G552" s="363" t="s">
        <v>22</v>
      </c>
      <c r="H552" s="322"/>
      <c r="I552" s="363" t="s">
        <v>452</v>
      </c>
      <c r="J552" s="363" t="s">
        <v>142</v>
      </c>
      <c r="K552" s="325" t="s">
        <v>34</v>
      </c>
      <c r="L552" s="325" t="s">
        <v>35</v>
      </c>
      <c r="M552" s="325" t="s">
        <v>20</v>
      </c>
      <c r="N552" s="325" t="s">
        <v>21</v>
      </c>
      <c r="O552" s="325" t="s">
        <v>22</v>
      </c>
      <c r="P552" s="322"/>
      <c r="R552" s="277"/>
    </row>
    <row r="553" spans="1:18" s="302" customFormat="1">
      <c r="A553" s="320"/>
      <c r="B553" s="320"/>
      <c r="C553" s="320"/>
      <c r="D553" s="320"/>
      <c r="E553" s="320"/>
      <c r="F553" s="320"/>
      <c r="G553" s="320"/>
      <c r="H553" s="322"/>
      <c r="I553" s="320"/>
      <c r="J553" s="320"/>
      <c r="K553" s="320"/>
      <c r="L553" s="320"/>
      <c r="M553" s="320"/>
      <c r="N553" s="320"/>
      <c r="O553" s="320"/>
      <c r="P553" s="322"/>
      <c r="R553" s="277"/>
    </row>
    <row r="554" spans="1:18" s="302" customFormat="1">
      <c r="A554" s="320"/>
      <c r="B554" s="320"/>
      <c r="C554" s="320"/>
      <c r="D554" s="320"/>
      <c r="E554" s="320"/>
      <c r="F554" s="320"/>
      <c r="G554" s="320"/>
      <c r="H554" s="322"/>
      <c r="I554" s="320"/>
      <c r="J554" s="320"/>
      <c r="K554" s="320"/>
      <c r="L554" s="320"/>
      <c r="M554" s="320"/>
      <c r="N554" s="320"/>
      <c r="O554" s="320"/>
      <c r="P554" s="322"/>
      <c r="R554" s="277"/>
    </row>
    <row r="555" spans="1:18" s="302" customFormat="1">
      <c r="A555" s="320"/>
      <c r="B555" s="320"/>
      <c r="C555" s="320"/>
      <c r="D555" s="320"/>
      <c r="E555" s="320"/>
      <c r="F555" s="320"/>
      <c r="G555" s="320"/>
      <c r="H555" s="322"/>
      <c r="I555" s="320"/>
      <c r="J555" s="320"/>
      <c r="K555" s="320"/>
      <c r="L555" s="320"/>
      <c r="M555" s="320"/>
      <c r="N555" s="320"/>
      <c r="O555" s="320"/>
      <c r="P555" s="322"/>
      <c r="Q555" s="322"/>
      <c r="R555" s="277"/>
    </row>
    <row r="556" spans="1:18" s="302" customFormat="1">
      <c r="A556" s="320"/>
      <c r="B556" s="320"/>
      <c r="C556" s="320"/>
      <c r="D556" s="320"/>
      <c r="E556" s="320"/>
      <c r="F556" s="320"/>
      <c r="G556" s="320"/>
      <c r="I556" s="320"/>
      <c r="J556" s="320"/>
      <c r="K556" s="320"/>
      <c r="L556" s="320"/>
      <c r="M556" s="320"/>
      <c r="N556" s="320"/>
      <c r="O556" s="320"/>
      <c r="P556" s="322"/>
      <c r="Q556" s="322"/>
      <c r="R556" s="277"/>
    </row>
    <row r="557" spans="1:18" s="302" customFormat="1">
      <c r="A557" s="320"/>
      <c r="B557" s="320"/>
      <c r="C557" s="320"/>
      <c r="D557" s="320"/>
      <c r="E557" s="320"/>
      <c r="F557" s="320"/>
      <c r="G557" s="320"/>
      <c r="I557" s="320"/>
      <c r="J557" s="320"/>
      <c r="K557" s="320"/>
      <c r="L557" s="320"/>
      <c r="M557" s="320"/>
      <c r="N557" s="320"/>
      <c r="O557" s="320"/>
      <c r="P557" s="322"/>
      <c r="Q557" s="322"/>
      <c r="R557" s="277"/>
    </row>
    <row r="558" spans="1:18" s="302" customFormat="1">
      <c r="A558" s="320"/>
      <c r="B558" s="320"/>
      <c r="C558" s="320"/>
      <c r="D558" s="320"/>
      <c r="E558" s="320"/>
      <c r="F558" s="320"/>
      <c r="G558" s="320"/>
      <c r="I558" s="320"/>
      <c r="J558" s="320"/>
      <c r="K558" s="320"/>
      <c r="L558" s="320"/>
      <c r="M558" s="320"/>
      <c r="N558" s="320"/>
      <c r="O558" s="320"/>
      <c r="P558" s="322"/>
      <c r="Q558" s="322"/>
      <c r="R558" s="277"/>
    </row>
    <row r="559" spans="1:18" s="302" customFormat="1">
      <c r="A559" s="320"/>
      <c r="B559" s="320"/>
      <c r="C559" s="320"/>
      <c r="D559" s="320"/>
      <c r="E559" s="320"/>
      <c r="F559" s="320"/>
      <c r="G559" s="320"/>
      <c r="I559" s="320"/>
      <c r="J559" s="320"/>
      <c r="K559" s="320"/>
      <c r="L559" s="320"/>
      <c r="M559" s="320"/>
      <c r="N559" s="320"/>
      <c r="O559" s="320"/>
      <c r="P559" s="322"/>
      <c r="Q559" s="322"/>
      <c r="R559" s="277"/>
    </row>
    <row r="560" spans="1:18" s="302" customFormat="1">
      <c r="A560" s="320"/>
      <c r="B560" s="320"/>
      <c r="C560" s="320"/>
      <c r="D560" s="320"/>
      <c r="E560" s="320"/>
      <c r="F560" s="320"/>
      <c r="G560" s="320"/>
      <c r="I560" s="320"/>
      <c r="J560" s="320"/>
      <c r="K560" s="320"/>
      <c r="L560" s="320"/>
      <c r="M560" s="320"/>
      <c r="N560" s="320"/>
      <c r="O560" s="320"/>
      <c r="P560" s="322"/>
      <c r="Q560" s="322"/>
      <c r="R560" s="277"/>
    </row>
    <row r="561" spans="1:18" s="302" customFormat="1">
      <c r="A561" s="320"/>
      <c r="B561" s="320"/>
      <c r="C561" s="320"/>
      <c r="D561" s="320"/>
      <c r="E561" s="320"/>
      <c r="F561" s="320"/>
      <c r="G561" s="320"/>
      <c r="I561" s="320"/>
      <c r="J561" s="320"/>
      <c r="K561" s="320"/>
      <c r="L561" s="320"/>
      <c r="M561" s="320"/>
      <c r="N561" s="320"/>
      <c r="O561" s="320"/>
      <c r="P561" s="322"/>
      <c r="Q561" s="322"/>
      <c r="R561" s="277"/>
    </row>
    <row r="562" spans="1:18" s="302" customFormat="1">
      <c r="A562" s="320"/>
      <c r="B562" s="320"/>
      <c r="C562" s="320"/>
      <c r="D562" s="320"/>
      <c r="E562" s="320"/>
      <c r="F562" s="320"/>
      <c r="G562" s="320"/>
      <c r="I562" s="320"/>
      <c r="J562" s="320"/>
      <c r="K562" s="320"/>
      <c r="L562" s="320"/>
      <c r="M562" s="320"/>
      <c r="N562" s="320"/>
      <c r="O562" s="320"/>
      <c r="P562" s="322"/>
      <c r="Q562" s="322"/>
      <c r="R562" s="277"/>
    </row>
    <row r="563" spans="1:18" s="302" customFormat="1">
      <c r="A563" s="320"/>
      <c r="B563" s="320"/>
      <c r="C563" s="320"/>
      <c r="D563" s="320"/>
      <c r="E563" s="320"/>
      <c r="F563" s="320"/>
      <c r="G563" s="320"/>
      <c r="I563" s="320"/>
      <c r="J563" s="320"/>
      <c r="K563" s="320"/>
      <c r="L563" s="320"/>
      <c r="M563" s="320"/>
      <c r="N563" s="320"/>
      <c r="O563" s="320"/>
      <c r="P563" s="322"/>
      <c r="R563" s="277"/>
    </row>
    <row r="564" spans="1:18" s="302" customFormat="1">
      <c r="A564" s="320"/>
      <c r="B564" s="320"/>
      <c r="C564" s="320"/>
      <c r="D564" s="320"/>
      <c r="E564" s="320"/>
      <c r="F564" s="320"/>
      <c r="G564" s="320"/>
      <c r="H564" s="322"/>
      <c r="I564" s="320"/>
      <c r="J564" s="320"/>
      <c r="K564" s="320"/>
      <c r="L564" s="320"/>
      <c r="M564" s="320"/>
      <c r="N564" s="320"/>
      <c r="O564" s="320"/>
      <c r="P564" s="322"/>
      <c r="R564" s="277"/>
    </row>
    <row r="565" spans="1:18" s="302" customFormat="1">
      <c r="A565" s="320"/>
      <c r="B565" s="320"/>
      <c r="C565" s="320"/>
      <c r="D565" s="320"/>
      <c r="E565" s="320"/>
      <c r="F565" s="320"/>
      <c r="G565" s="320"/>
      <c r="H565" s="322"/>
      <c r="I565" s="320"/>
      <c r="J565" s="320"/>
      <c r="K565" s="320"/>
      <c r="L565" s="320"/>
      <c r="M565" s="320"/>
      <c r="N565" s="320"/>
      <c r="O565" s="320"/>
      <c r="P565" s="322"/>
      <c r="R565" s="277"/>
    </row>
    <row r="566" spans="1:18" s="302" customFormat="1">
      <c r="A566" s="320"/>
      <c r="B566" s="320"/>
      <c r="C566" s="320"/>
      <c r="D566" s="320"/>
      <c r="E566" s="320"/>
      <c r="F566" s="320"/>
      <c r="G566" s="320"/>
      <c r="H566" s="322"/>
      <c r="I566" s="320"/>
      <c r="J566" s="320"/>
      <c r="K566" s="320"/>
      <c r="L566" s="320"/>
      <c r="M566" s="320"/>
      <c r="N566" s="320"/>
      <c r="O566" s="320"/>
      <c r="P566" s="322"/>
      <c r="R566" s="277"/>
    </row>
    <row r="567" spans="1:18" s="302" customFormat="1">
      <c r="A567" s="320"/>
      <c r="B567" s="320"/>
      <c r="C567" s="320"/>
      <c r="D567" s="320"/>
      <c r="E567" s="320"/>
      <c r="F567" s="320"/>
      <c r="G567" s="320"/>
      <c r="H567" s="322"/>
      <c r="I567" s="320"/>
      <c r="J567" s="320"/>
      <c r="K567" s="320"/>
      <c r="L567" s="320"/>
      <c r="M567" s="320"/>
      <c r="N567" s="320"/>
      <c r="O567" s="320"/>
      <c r="P567" s="322"/>
      <c r="R567" s="277"/>
    </row>
    <row r="568" spans="1:18" s="302" customFormat="1">
      <c r="A568" s="320"/>
      <c r="B568" s="320"/>
      <c r="C568" s="320"/>
      <c r="D568" s="320"/>
      <c r="E568" s="320"/>
      <c r="F568" s="320"/>
      <c r="G568" s="320"/>
      <c r="H568" s="322"/>
      <c r="I568" s="320"/>
      <c r="J568" s="320"/>
      <c r="K568" s="320"/>
      <c r="L568" s="320"/>
      <c r="M568" s="320"/>
      <c r="N568" s="320"/>
      <c r="O568" s="320"/>
      <c r="P568" s="322"/>
      <c r="R568" s="277"/>
    </row>
    <row r="569" spans="1:18" s="302" customFormat="1">
      <c r="A569" s="320"/>
      <c r="B569" s="320"/>
      <c r="C569" s="320"/>
      <c r="D569" s="320"/>
      <c r="E569" s="320"/>
      <c r="F569" s="320"/>
      <c r="G569" s="320"/>
      <c r="H569" s="322"/>
      <c r="I569" s="320"/>
      <c r="J569" s="320"/>
      <c r="K569" s="320"/>
      <c r="L569" s="320"/>
      <c r="M569" s="320"/>
      <c r="N569" s="320"/>
      <c r="O569" s="320"/>
      <c r="P569" s="322"/>
      <c r="R569" s="277"/>
    </row>
    <row r="570" spans="1:18" s="302" customFormat="1">
      <c r="A570" s="320"/>
      <c r="B570" s="320"/>
      <c r="C570" s="320"/>
      <c r="D570" s="320"/>
      <c r="E570" s="320"/>
      <c r="F570" s="320"/>
      <c r="G570" s="320"/>
      <c r="H570" s="322"/>
      <c r="I570" s="320"/>
      <c r="J570" s="320"/>
      <c r="K570" s="320"/>
      <c r="L570" s="320"/>
      <c r="M570" s="320"/>
      <c r="N570" s="320"/>
      <c r="O570" s="320"/>
      <c r="P570" s="322"/>
      <c r="R570" s="277"/>
    </row>
    <row r="571" spans="1:18" s="302" customFormat="1">
      <c r="A571" s="320"/>
      <c r="B571" s="320"/>
      <c r="C571" s="320"/>
      <c r="D571" s="320"/>
      <c r="E571" s="320"/>
      <c r="F571" s="320"/>
      <c r="G571" s="320"/>
      <c r="H571" s="322"/>
      <c r="I571" s="320"/>
      <c r="J571" s="320"/>
      <c r="K571" s="320"/>
      <c r="L571" s="320"/>
      <c r="M571" s="320"/>
      <c r="N571" s="320"/>
      <c r="O571" s="320"/>
      <c r="P571" s="322"/>
      <c r="R571" s="277"/>
    </row>
    <row r="572" spans="1:18" s="302" customFormat="1">
      <c r="A572" s="320"/>
      <c r="B572" s="320"/>
      <c r="C572" s="320"/>
      <c r="D572" s="320"/>
      <c r="E572" s="320"/>
      <c r="F572" s="320"/>
      <c r="G572" s="320"/>
      <c r="H572" s="322"/>
      <c r="I572" s="320"/>
      <c r="J572" s="320"/>
      <c r="K572" s="320"/>
      <c r="L572" s="320"/>
      <c r="M572" s="320"/>
      <c r="N572" s="320"/>
      <c r="O572" s="320"/>
      <c r="P572" s="322"/>
      <c r="R572" s="277"/>
    </row>
    <row r="573" spans="1:18" s="302" customFormat="1">
      <c r="A573" s="320"/>
      <c r="B573" s="320"/>
      <c r="C573" s="320"/>
      <c r="D573" s="320"/>
      <c r="E573" s="320"/>
      <c r="F573" s="320"/>
      <c r="G573" s="320"/>
      <c r="H573" s="322"/>
      <c r="I573" s="320"/>
      <c r="J573" s="320"/>
      <c r="K573" s="320"/>
      <c r="L573" s="320"/>
      <c r="M573" s="320"/>
      <c r="N573" s="320"/>
      <c r="O573" s="320"/>
      <c r="P573" s="322"/>
      <c r="R573" s="277"/>
    </row>
    <row r="574" spans="1:18" s="302" customFormat="1">
      <c r="A574" s="320"/>
      <c r="B574" s="320"/>
      <c r="C574" s="320"/>
      <c r="D574" s="320"/>
      <c r="E574" s="320"/>
      <c r="F574" s="320"/>
      <c r="G574" s="320"/>
      <c r="H574" s="322"/>
      <c r="I574" s="320"/>
      <c r="J574" s="320"/>
      <c r="K574" s="320"/>
      <c r="L574" s="320"/>
      <c r="M574" s="320"/>
      <c r="N574" s="320"/>
      <c r="O574" s="320"/>
      <c r="P574" s="322"/>
      <c r="R574" s="277"/>
    </row>
    <row r="575" spans="1:18" s="302" customFormat="1">
      <c r="A575" s="320"/>
      <c r="B575" s="320"/>
      <c r="C575" s="320"/>
      <c r="D575" s="320"/>
      <c r="E575" s="320"/>
      <c r="F575" s="320"/>
      <c r="G575" s="320"/>
      <c r="H575" s="322"/>
      <c r="I575" s="320"/>
      <c r="J575" s="320"/>
      <c r="K575" s="320"/>
      <c r="L575" s="320"/>
      <c r="M575" s="320"/>
      <c r="N575" s="320"/>
      <c r="O575" s="320"/>
      <c r="P575" s="322"/>
      <c r="R575" s="277"/>
    </row>
    <row r="576" spans="1:18" s="302" customFormat="1">
      <c r="A576" s="320"/>
      <c r="B576" s="320"/>
      <c r="C576" s="320"/>
      <c r="D576" s="320"/>
      <c r="E576" s="320"/>
      <c r="F576" s="320"/>
      <c r="G576" s="320"/>
      <c r="H576" s="322"/>
      <c r="I576" s="320"/>
      <c r="J576" s="320"/>
      <c r="K576" s="320"/>
      <c r="L576" s="320"/>
      <c r="M576" s="320"/>
      <c r="N576" s="320"/>
      <c r="O576" s="320"/>
      <c r="P576" s="322"/>
      <c r="R576" s="277"/>
    </row>
    <row r="577" spans="1:18" s="302" customFormat="1">
      <c r="A577" s="320"/>
      <c r="B577" s="320"/>
      <c r="C577" s="320"/>
      <c r="D577" s="320"/>
      <c r="E577" s="320"/>
      <c r="F577" s="320"/>
      <c r="G577" s="320"/>
      <c r="H577" s="322"/>
      <c r="I577" s="320"/>
      <c r="J577" s="320"/>
      <c r="K577" s="320"/>
      <c r="L577" s="320"/>
      <c r="M577" s="320"/>
      <c r="N577" s="320"/>
      <c r="O577" s="320"/>
      <c r="P577" s="322"/>
      <c r="R577" s="277"/>
    </row>
    <row r="578" spans="1:18" s="302" customFormat="1">
      <c r="A578" s="320"/>
      <c r="B578" s="320"/>
      <c r="C578" s="320"/>
      <c r="D578" s="320"/>
      <c r="E578" s="320"/>
      <c r="F578" s="320"/>
      <c r="G578" s="320"/>
      <c r="H578" s="322"/>
      <c r="I578" s="320"/>
      <c r="J578" s="320"/>
      <c r="K578" s="320"/>
      <c r="L578" s="320"/>
      <c r="M578" s="320"/>
      <c r="N578" s="320"/>
      <c r="O578" s="320"/>
      <c r="P578" s="322"/>
      <c r="R578" s="277"/>
    </row>
    <row r="579" spans="1:18" s="302" customFormat="1">
      <c r="A579" s="320"/>
      <c r="B579" s="320"/>
      <c r="C579" s="320"/>
      <c r="D579" s="320"/>
      <c r="E579" s="320"/>
      <c r="F579" s="320"/>
      <c r="G579" s="320"/>
      <c r="H579" s="322"/>
      <c r="I579" s="320"/>
      <c r="J579" s="320"/>
      <c r="K579" s="320"/>
      <c r="L579" s="320"/>
      <c r="M579" s="320"/>
      <c r="N579" s="320"/>
      <c r="O579" s="320"/>
      <c r="P579" s="322"/>
      <c r="R579" s="277"/>
    </row>
    <row r="580" spans="1:18" s="302" customFormat="1">
      <c r="A580" s="320"/>
      <c r="B580" s="320"/>
      <c r="C580" s="320"/>
      <c r="D580" s="320"/>
      <c r="E580" s="320"/>
      <c r="F580" s="320"/>
      <c r="G580" s="320"/>
      <c r="H580" s="322"/>
      <c r="I580" s="320"/>
      <c r="J580" s="320"/>
      <c r="K580" s="320"/>
      <c r="L580" s="320"/>
      <c r="M580" s="320"/>
      <c r="N580" s="320"/>
      <c r="O580" s="320"/>
      <c r="P580" s="322"/>
      <c r="R580" s="277"/>
    </row>
    <row r="581" spans="1:18" s="302" customFormat="1">
      <c r="A581" s="320"/>
      <c r="B581" s="320"/>
      <c r="C581" s="320"/>
      <c r="D581" s="320"/>
      <c r="E581" s="320"/>
      <c r="F581" s="320"/>
      <c r="G581" s="320"/>
      <c r="H581" s="322"/>
      <c r="I581" s="320"/>
      <c r="J581" s="320"/>
      <c r="K581" s="320"/>
      <c r="L581" s="320"/>
      <c r="M581" s="320"/>
      <c r="N581" s="320"/>
      <c r="O581" s="320"/>
      <c r="P581" s="322"/>
      <c r="R581" s="277"/>
    </row>
    <row r="582" spans="1:18" s="302" customFormat="1">
      <c r="A582" s="320"/>
      <c r="B582" s="320"/>
      <c r="C582" s="320"/>
      <c r="D582" s="320"/>
      <c r="E582" s="320"/>
      <c r="F582" s="320"/>
      <c r="G582" s="320"/>
      <c r="H582" s="322"/>
      <c r="I582" s="320"/>
      <c r="J582" s="320"/>
      <c r="K582" s="320"/>
      <c r="L582" s="320"/>
      <c r="M582" s="320"/>
      <c r="N582" s="320"/>
      <c r="O582" s="320"/>
      <c r="P582" s="322"/>
      <c r="R582" s="277"/>
    </row>
    <row r="583" spans="1:18" s="302" customFormat="1">
      <c r="A583" s="320"/>
      <c r="B583" s="320"/>
      <c r="C583" s="320"/>
      <c r="D583" s="320"/>
      <c r="E583" s="320"/>
      <c r="F583" s="320"/>
      <c r="G583" s="320"/>
      <c r="H583" s="322"/>
      <c r="I583" s="320"/>
      <c r="J583" s="320"/>
      <c r="K583" s="320"/>
      <c r="L583" s="320"/>
      <c r="M583" s="320"/>
      <c r="N583" s="320"/>
      <c r="O583" s="320"/>
      <c r="P583" s="322"/>
      <c r="R583" s="277"/>
    </row>
    <row r="584" spans="1:18" s="302" customFormat="1">
      <c r="A584" s="320"/>
      <c r="B584" s="320"/>
      <c r="C584" s="320"/>
      <c r="D584" s="320"/>
      <c r="E584" s="320"/>
      <c r="F584" s="320"/>
      <c r="G584" s="320"/>
      <c r="H584" s="322"/>
      <c r="I584" s="320"/>
      <c r="J584" s="320"/>
      <c r="K584" s="320"/>
      <c r="L584" s="320"/>
      <c r="M584" s="320"/>
      <c r="N584" s="320"/>
      <c r="O584" s="320"/>
      <c r="P584" s="322"/>
      <c r="R584" s="277"/>
    </row>
    <row r="585" spans="1:18" s="302" customFormat="1">
      <c r="A585" s="320"/>
      <c r="B585" s="320"/>
      <c r="C585" s="320"/>
      <c r="D585" s="320"/>
      <c r="E585" s="320"/>
      <c r="F585" s="320"/>
      <c r="G585" s="320"/>
      <c r="H585" s="322"/>
      <c r="I585" s="320"/>
      <c r="J585" s="320"/>
      <c r="K585" s="320"/>
      <c r="L585" s="320"/>
      <c r="M585" s="320"/>
      <c r="N585" s="320"/>
      <c r="O585" s="320"/>
      <c r="P585" s="322"/>
      <c r="R585" s="277"/>
    </row>
    <row r="586" spans="1:18" s="302" customFormat="1">
      <c r="A586" s="320"/>
      <c r="B586" s="320"/>
      <c r="C586" s="320"/>
      <c r="D586" s="320"/>
      <c r="E586" s="320"/>
      <c r="F586" s="320"/>
      <c r="G586" s="320"/>
      <c r="H586" s="322"/>
      <c r="I586" s="320"/>
      <c r="J586" s="320"/>
      <c r="K586" s="320"/>
      <c r="L586" s="320"/>
      <c r="M586" s="320"/>
      <c r="N586" s="320"/>
      <c r="O586" s="320"/>
      <c r="P586" s="322"/>
      <c r="R586" s="277"/>
    </row>
    <row r="587" spans="1:18" s="302" customFormat="1">
      <c r="A587" s="319"/>
      <c r="B587" s="364"/>
      <c r="C587" s="320"/>
      <c r="D587" s="320"/>
      <c r="E587" s="320"/>
      <c r="F587" s="320"/>
      <c r="G587" s="320"/>
      <c r="H587" s="322"/>
      <c r="I587" s="319"/>
      <c r="J587" s="364"/>
      <c r="K587" s="320"/>
      <c r="L587" s="320"/>
      <c r="M587" s="320"/>
      <c r="N587" s="320"/>
      <c r="O587" s="320"/>
      <c r="P587" s="322"/>
      <c r="R587" s="277"/>
    </row>
    <row r="588" spans="1:18" s="302" customFormat="1">
      <c r="A588" s="319"/>
      <c r="B588" s="364"/>
      <c r="C588" s="320"/>
      <c r="D588" s="320"/>
      <c r="E588" s="320"/>
      <c r="F588" s="320"/>
      <c r="G588" s="320"/>
      <c r="H588" s="322"/>
      <c r="I588" s="319"/>
      <c r="J588" s="364"/>
      <c r="K588" s="320"/>
      <c r="L588" s="320"/>
      <c r="M588" s="320"/>
      <c r="N588" s="320"/>
      <c r="O588" s="320"/>
      <c r="P588" s="322"/>
      <c r="R588" s="277"/>
    </row>
    <row r="589" spans="1:18" s="302" customFormat="1">
      <c r="A589" s="319"/>
      <c r="B589" s="364"/>
      <c r="C589" s="320"/>
      <c r="D589" s="320"/>
      <c r="E589" s="320"/>
      <c r="F589" s="320"/>
      <c r="G589" s="320"/>
      <c r="H589" s="322"/>
      <c r="I589" s="319"/>
      <c r="J589" s="364"/>
      <c r="K589" s="320"/>
      <c r="L589" s="320"/>
      <c r="M589" s="320"/>
      <c r="N589" s="320"/>
      <c r="O589" s="320"/>
      <c r="P589" s="322"/>
      <c r="R589" s="277"/>
    </row>
    <row r="590" spans="1:18" s="302" customFormat="1">
      <c r="A590" s="319"/>
      <c r="B590" s="364"/>
      <c r="C590" s="320"/>
      <c r="D590" s="320"/>
      <c r="E590" s="320"/>
      <c r="F590" s="320"/>
      <c r="G590" s="320"/>
      <c r="H590" s="322"/>
      <c r="I590" s="320"/>
      <c r="J590" s="320"/>
      <c r="K590" s="320"/>
      <c r="L590" s="320"/>
      <c r="M590" s="320"/>
      <c r="N590" s="320"/>
      <c r="O590" s="320"/>
      <c r="P590" s="322"/>
      <c r="R590" s="277"/>
    </row>
    <row r="591" spans="1:18" s="302" customFormat="1">
      <c r="A591" s="319"/>
      <c r="B591" s="364"/>
      <c r="C591" s="320"/>
      <c r="D591" s="320"/>
      <c r="E591" s="320"/>
      <c r="F591" s="320"/>
      <c r="G591" s="320"/>
      <c r="H591" s="322"/>
      <c r="I591" s="320"/>
      <c r="J591" s="320"/>
      <c r="K591" s="320"/>
      <c r="L591" s="320"/>
      <c r="M591" s="320"/>
      <c r="N591" s="320"/>
      <c r="O591" s="320"/>
      <c r="P591" s="322"/>
      <c r="R591" s="277"/>
    </row>
    <row r="592" spans="1:18" s="302" customFormat="1">
      <c r="A592" s="319"/>
      <c r="B592" s="364"/>
      <c r="C592" s="320"/>
      <c r="D592" s="320"/>
      <c r="E592" s="320"/>
      <c r="F592" s="320"/>
      <c r="G592" s="320"/>
      <c r="H592" s="322"/>
      <c r="I592" s="320"/>
      <c r="J592" s="320"/>
      <c r="K592" s="320"/>
      <c r="L592" s="320"/>
      <c r="M592" s="320"/>
      <c r="N592" s="320"/>
      <c r="O592" s="320"/>
      <c r="P592" s="322"/>
      <c r="R592" s="277"/>
    </row>
    <row r="593" spans="1:18" s="302" customFormat="1">
      <c r="E593" s="322"/>
      <c r="F593" s="322"/>
      <c r="G593" s="322"/>
      <c r="H593" s="322"/>
      <c r="I593" s="322"/>
      <c r="J593" s="322"/>
      <c r="K593" s="322"/>
      <c r="L593" s="322"/>
      <c r="M593" s="322"/>
      <c r="N593" s="322"/>
      <c r="R593" s="277"/>
    </row>
    <row r="594" spans="1:18" s="302" customFormat="1">
      <c r="E594" s="322"/>
      <c r="F594" s="322"/>
      <c r="G594" s="322"/>
      <c r="H594" s="322"/>
      <c r="I594" s="322"/>
      <c r="J594" s="322"/>
      <c r="K594" s="322"/>
      <c r="L594" s="322"/>
      <c r="M594" s="322"/>
      <c r="N594" s="322"/>
      <c r="R594" s="277"/>
    </row>
    <row r="595" spans="1:18" s="302" customFormat="1">
      <c r="E595" s="322"/>
      <c r="F595" s="322"/>
      <c r="G595" s="322"/>
      <c r="H595" s="322"/>
      <c r="I595" s="322"/>
      <c r="J595" s="322"/>
      <c r="K595" s="322"/>
      <c r="L595" s="322"/>
      <c r="M595" s="322"/>
      <c r="N595" s="322"/>
      <c r="R595" s="277"/>
    </row>
    <row r="596" spans="1:18" s="302" customFormat="1">
      <c r="E596" s="322"/>
      <c r="F596" s="322"/>
      <c r="G596" s="322"/>
      <c r="H596" s="322"/>
      <c r="I596" s="322"/>
      <c r="J596" s="322"/>
      <c r="K596" s="322"/>
      <c r="L596" s="322"/>
      <c r="M596" s="322"/>
      <c r="N596" s="322"/>
      <c r="R596" s="277"/>
    </row>
    <row r="597" spans="1:18" s="302" customFormat="1">
      <c r="E597" s="322"/>
      <c r="F597" s="322"/>
      <c r="G597" s="322"/>
      <c r="H597" s="322"/>
      <c r="I597" s="322"/>
      <c r="J597" s="322"/>
      <c r="K597" s="322"/>
      <c r="L597" s="322"/>
      <c r="M597" s="322"/>
      <c r="N597" s="322"/>
      <c r="R597" s="277"/>
    </row>
    <row r="598" spans="1:18" s="302" customFormat="1">
      <c r="E598" s="322"/>
      <c r="F598" s="361" t="s">
        <v>460</v>
      </c>
      <c r="G598" s="322"/>
      <c r="H598" s="322"/>
      <c r="I598" s="322"/>
      <c r="J598" s="322"/>
      <c r="K598" s="322"/>
      <c r="L598" s="322"/>
      <c r="M598" s="322"/>
      <c r="N598" s="322"/>
      <c r="R598" s="277"/>
    </row>
    <row r="599" spans="1:18" s="302" customFormat="1">
      <c r="E599" s="322"/>
      <c r="F599" s="322"/>
      <c r="G599" s="322"/>
      <c r="H599" s="322"/>
      <c r="I599" s="322"/>
      <c r="J599" s="322"/>
      <c r="K599" s="322"/>
      <c r="L599" s="322"/>
      <c r="M599" s="322"/>
      <c r="N599" s="322"/>
      <c r="R599" s="277"/>
    </row>
    <row r="600" spans="1:18" s="300" customFormat="1">
      <c r="A600" s="354" t="s">
        <v>175</v>
      </c>
      <c r="B600" s="355">
        <f>1+B550</f>
        <v>14</v>
      </c>
      <c r="E600" s="359"/>
      <c r="F600" s="359"/>
      <c r="G600" s="359"/>
      <c r="H600" s="359"/>
      <c r="I600" s="359"/>
      <c r="J600" s="359"/>
      <c r="K600" s="359"/>
      <c r="L600" s="359"/>
      <c r="M600" s="359"/>
      <c r="N600" s="359"/>
      <c r="R600" s="299"/>
    </row>
    <row r="601" spans="1:18" s="300" customFormat="1" ht="12.75" customHeight="1">
      <c r="A601" s="442" t="s">
        <v>240</v>
      </c>
      <c r="B601" s="454"/>
      <c r="C601" s="454"/>
      <c r="D601" s="454"/>
      <c r="E601" s="454"/>
      <c r="F601" s="454"/>
      <c r="G601" s="455"/>
      <c r="H601" s="359"/>
      <c r="I601" s="359"/>
      <c r="J601" s="359"/>
      <c r="K601" s="359"/>
      <c r="L601" s="359"/>
      <c r="M601" s="359"/>
      <c r="N601" s="359"/>
      <c r="R601" s="299"/>
    </row>
    <row r="602" spans="1:18" s="302" customFormat="1">
      <c r="A602" s="363" t="s">
        <v>452</v>
      </c>
      <c r="B602" s="363" t="s">
        <v>142</v>
      </c>
      <c r="C602" s="363" t="s">
        <v>61</v>
      </c>
      <c r="D602" s="363" t="s">
        <v>62</v>
      </c>
      <c r="E602" s="363" t="s">
        <v>20</v>
      </c>
      <c r="F602" s="363" t="s">
        <v>21</v>
      </c>
      <c r="G602" s="363" t="s">
        <v>22</v>
      </c>
      <c r="H602" s="322"/>
      <c r="I602" s="322"/>
      <c r="J602" s="322"/>
      <c r="K602" s="322"/>
      <c r="L602" s="322"/>
      <c r="M602" s="322"/>
      <c r="N602" s="322"/>
      <c r="R602" s="277"/>
    </row>
    <row r="603" spans="1:18" s="302" customFormat="1">
      <c r="A603" s="320"/>
      <c r="B603" s="320"/>
      <c r="C603" s="320"/>
      <c r="D603" s="320"/>
      <c r="E603" s="320"/>
      <c r="F603" s="320"/>
      <c r="G603" s="320"/>
      <c r="H603" s="322"/>
      <c r="I603" s="322"/>
      <c r="J603" s="322"/>
      <c r="K603" s="322"/>
      <c r="L603" s="322"/>
      <c r="M603" s="322"/>
      <c r="N603" s="322"/>
      <c r="R603" s="277"/>
    </row>
    <row r="604" spans="1:18" s="302" customFormat="1">
      <c r="A604" s="320"/>
      <c r="B604" s="320"/>
      <c r="C604" s="320"/>
      <c r="D604" s="320"/>
      <c r="E604" s="320"/>
      <c r="F604" s="320"/>
      <c r="G604" s="320"/>
      <c r="H604" s="322"/>
      <c r="I604" s="322"/>
      <c r="J604" s="322"/>
      <c r="K604" s="322"/>
      <c r="L604" s="322"/>
      <c r="M604" s="322"/>
      <c r="N604" s="322"/>
      <c r="R604" s="277"/>
    </row>
    <row r="605" spans="1:18" s="302" customFormat="1">
      <c r="A605" s="320"/>
      <c r="B605" s="320"/>
      <c r="C605" s="320"/>
      <c r="D605" s="320"/>
      <c r="E605" s="320"/>
      <c r="F605" s="320"/>
      <c r="G605" s="320"/>
      <c r="H605" s="322"/>
      <c r="I605" s="322"/>
      <c r="J605" s="322"/>
      <c r="K605" s="322"/>
      <c r="L605" s="322"/>
      <c r="M605" s="322"/>
      <c r="N605" s="322"/>
      <c r="R605" s="277"/>
    </row>
    <row r="606" spans="1:18" s="302" customFormat="1">
      <c r="A606" s="320"/>
      <c r="B606" s="320"/>
      <c r="C606" s="320"/>
      <c r="D606" s="320"/>
      <c r="E606" s="320"/>
      <c r="F606" s="320"/>
      <c r="G606" s="320"/>
      <c r="H606" s="322"/>
      <c r="I606" s="322"/>
      <c r="J606" s="322"/>
      <c r="K606" s="322"/>
      <c r="L606" s="322"/>
      <c r="M606" s="322"/>
      <c r="N606" s="322"/>
      <c r="R606" s="277"/>
    </row>
    <row r="607" spans="1:18" s="302" customFormat="1">
      <c r="A607" s="320"/>
      <c r="B607" s="320"/>
      <c r="C607" s="320"/>
      <c r="D607" s="320"/>
      <c r="E607" s="320"/>
      <c r="F607" s="320"/>
      <c r="G607" s="320"/>
      <c r="H607" s="322"/>
      <c r="I607" s="322"/>
      <c r="J607" s="322"/>
      <c r="K607" s="322"/>
      <c r="L607" s="322"/>
      <c r="M607" s="322"/>
      <c r="N607" s="322"/>
      <c r="R607" s="277"/>
    </row>
    <row r="608" spans="1:18" s="302" customFormat="1">
      <c r="A608" s="320"/>
      <c r="B608" s="320"/>
      <c r="C608" s="320"/>
      <c r="D608" s="320"/>
      <c r="E608" s="320"/>
      <c r="F608" s="320"/>
      <c r="G608" s="320"/>
      <c r="H608" s="322"/>
      <c r="I608" s="322"/>
      <c r="J608" s="322"/>
      <c r="K608" s="322"/>
      <c r="L608" s="322"/>
      <c r="M608" s="322"/>
      <c r="N608" s="322"/>
      <c r="R608" s="277"/>
    </row>
    <row r="609" spans="1:18" s="302" customFormat="1">
      <c r="A609" s="320"/>
      <c r="B609" s="320"/>
      <c r="C609" s="320"/>
      <c r="D609" s="320"/>
      <c r="E609" s="320"/>
      <c r="F609" s="320"/>
      <c r="G609" s="320"/>
      <c r="H609" s="322"/>
      <c r="I609" s="322"/>
      <c r="J609" s="322"/>
      <c r="K609" s="322"/>
      <c r="L609" s="322"/>
      <c r="M609" s="322"/>
      <c r="N609" s="322"/>
      <c r="R609" s="277"/>
    </row>
    <row r="610" spans="1:18" s="302" customFormat="1">
      <c r="A610" s="320"/>
      <c r="B610" s="320"/>
      <c r="C610" s="320"/>
      <c r="D610" s="320"/>
      <c r="E610" s="320"/>
      <c r="F610" s="320"/>
      <c r="G610" s="320"/>
      <c r="H610" s="322"/>
      <c r="I610" s="322"/>
      <c r="J610" s="322"/>
      <c r="K610" s="322"/>
      <c r="L610" s="322"/>
      <c r="M610" s="322"/>
      <c r="N610" s="322"/>
      <c r="R610" s="277"/>
    </row>
    <row r="611" spans="1:18" s="302" customFormat="1">
      <c r="A611" s="320"/>
      <c r="B611" s="320"/>
      <c r="C611" s="320"/>
      <c r="D611" s="320"/>
      <c r="E611" s="320"/>
      <c r="F611" s="320"/>
      <c r="G611" s="320"/>
      <c r="H611" s="322"/>
      <c r="I611" s="322"/>
      <c r="J611" s="322"/>
      <c r="K611" s="322"/>
      <c r="L611" s="322"/>
      <c r="M611" s="322"/>
      <c r="N611" s="322"/>
      <c r="R611" s="277"/>
    </row>
    <row r="612" spans="1:18" s="302" customFormat="1">
      <c r="A612" s="320"/>
      <c r="B612" s="320"/>
      <c r="C612" s="320"/>
      <c r="D612" s="320"/>
      <c r="E612" s="320"/>
      <c r="F612" s="320"/>
      <c r="G612" s="320"/>
      <c r="H612" s="322"/>
      <c r="I612" s="322"/>
      <c r="J612" s="322"/>
      <c r="K612" s="322"/>
      <c r="L612" s="322"/>
      <c r="M612" s="322"/>
      <c r="N612" s="322"/>
      <c r="R612" s="277"/>
    </row>
    <row r="613" spans="1:18" s="302" customFormat="1">
      <c r="A613" s="320"/>
      <c r="B613" s="320"/>
      <c r="C613" s="320"/>
      <c r="D613" s="320"/>
      <c r="E613" s="320"/>
      <c r="F613" s="320"/>
      <c r="G613" s="320"/>
      <c r="H613" s="322"/>
      <c r="I613" s="322"/>
      <c r="J613" s="322"/>
      <c r="K613" s="322"/>
      <c r="L613" s="322"/>
      <c r="M613" s="322"/>
      <c r="N613" s="322"/>
      <c r="R613" s="277"/>
    </row>
    <row r="614" spans="1:18" s="302" customFormat="1">
      <c r="A614" s="320"/>
      <c r="B614" s="320"/>
      <c r="C614" s="320"/>
      <c r="D614" s="320"/>
      <c r="E614" s="320"/>
      <c r="F614" s="320"/>
      <c r="G614" s="320"/>
      <c r="H614" s="322"/>
      <c r="I614" s="322"/>
      <c r="J614" s="322"/>
      <c r="K614" s="322"/>
      <c r="L614" s="322"/>
      <c r="M614" s="322"/>
      <c r="N614" s="322"/>
      <c r="R614" s="277"/>
    </row>
    <row r="615" spans="1:18" s="302" customFormat="1">
      <c r="A615" s="320"/>
      <c r="B615" s="320"/>
      <c r="C615" s="320"/>
      <c r="D615" s="320"/>
      <c r="E615" s="320"/>
      <c r="F615" s="320"/>
      <c r="G615" s="320"/>
      <c r="H615" s="322"/>
      <c r="I615" s="322"/>
      <c r="J615" s="322"/>
      <c r="K615" s="322"/>
      <c r="L615" s="322"/>
      <c r="M615" s="322"/>
      <c r="N615" s="322"/>
      <c r="R615" s="277"/>
    </row>
    <row r="616" spans="1:18" s="302" customFormat="1">
      <c r="A616" s="320"/>
      <c r="B616" s="320"/>
      <c r="C616" s="320"/>
      <c r="D616" s="320"/>
      <c r="E616" s="320"/>
      <c r="F616" s="320"/>
      <c r="G616" s="320"/>
      <c r="H616" s="322"/>
      <c r="I616" s="322"/>
      <c r="J616" s="322"/>
      <c r="K616" s="322"/>
      <c r="L616" s="322"/>
      <c r="M616" s="322"/>
      <c r="N616" s="322"/>
      <c r="R616" s="277"/>
    </row>
    <row r="617" spans="1:18" s="302" customFormat="1">
      <c r="A617" s="320"/>
      <c r="B617" s="320"/>
      <c r="C617" s="320"/>
      <c r="D617" s="320"/>
      <c r="E617" s="320"/>
      <c r="F617" s="320"/>
      <c r="G617" s="320"/>
      <c r="H617" s="322"/>
      <c r="I617" s="322"/>
      <c r="J617" s="322"/>
      <c r="K617" s="322"/>
      <c r="L617" s="322"/>
      <c r="M617" s="322"/>
      <c r="N617" s="322"/>
      <c r="R617" s="277"/>
    </row>
    <row r="618" spans="1:18" s="302" customFormat="1">
      <c r="A618" s="320"/>
      <c r="B618" s="320"/>
      <c r="C618" s="320"/>
      <c r="D618" s="320"/>
      <c r="E618" s="320"/>
      <c r="F618" s="320"/>
      <c r="G618" s="320"/>
      <c r="H618" s="322"/>
      <c r="I618" s="322"/>
      <c r="J618" s="322"/>
      <c r="K618" s="322"/>
      <c r="L618" s="322"/>
      <c r="M618" s="322"/>
      <c r="N618" s="322"/>
      <c r="R618" s="277"/>
    </row>
    <row r="619" spans="1:18" s="302" customFormat="1">
      <c r="A619" s="320"/>
      <c r="B619" s="320"/>
      <c r="C619" s="320"/>
      <c r="D619" s="320"/>
      <c r="E619" s="320"/>
      <c r="F619" s="320"/>
      <c r="G619" s="320"/>
      <c r="H619" s="322"/>
      <c r="I619" s="322"/>
      <c r="J619" s="322"/>
      <c r="K619" s="322"/>
      <c r="L619" s="322"/>
      <c r="M619" s="322"/>
      <c r="N619" s="322"/>
      <c r="R619" s="277"/>
    </row>
    <row r="620" spans="1:18" s="302" customFormat="1">
      <c r="A620" s="320"/>
      <c r="B620" s="320"/>
      <c r="C620" s="320"/>
      <c r="D620" s="320"/>
      <c r="E620" s="320"/>
      <c r="F620" s="320"/>
      <c r="G620" s="320"/>
      <c r="H620" s="322"/>
      <c r="I620" s="322"/>
      <c r="J620" s="322"/>
      <c r="K620" s="322"/>
      <c r="L620" s="322"/>
      <c r="M620" s="322"/>
      <c r="N620" s="322"/>
      <c r="R620" s="277"/>
    </row>
    <row r="621" spans="1:18" s="302" customFormat="1">
      <c r="A621" s="320"/>
      <c r="B621" s="320"/>
      <c r="C621" s="320"/>
      <c r="D621" s="320"/>
      <c r="E621" s="320"/>
      <c r="F621" s="320"/>
      <c r="G621" s="320"/>
      <c r="H621" s="322"/>
      <c r="I621" s="322"/>
      <c r="J621" s="322"/>
      <c r="K621" s="322"/>
      <c r="L621" s="322"/>
      <c r="M621" s="322"/>
      <c r="N621" s="322"/>
      <c r="R621" s="277"/>
    </row>
    <row r="622" spans="1:18" s="302" customFormat="1">
      <c r="A622" s="320"/>
      <c r="B622" s="320"/>
      <c r="C622" s="320"/>
      <c r="D622" s="320"/>
      <c r="E622" s="320"/>
      <c r="F622" s="320"/>
      <c r="G622" s="320"/>
      <c r="H622" s="322"/>
      <c r="I622" s="322"/>
      <c r="J622" s="322"/>
      <c r="K622" s="322"/>
      <c r="L622" s="322"/>
      <c r="M622" s="322"/>
      <c r="N622" s="322"/>
      <c r="R622" s="277"/>
    </row>
    <row r="623" spans="1:18" s="302" customFormat="1">
      <c r="A623" s="320"/>
      <c r="B623" s="320"/>
      <c r="C623" s="320"/>
      <c r="D623" s="320"/>
      <c r="E623" s="320"/>
      <c r="F623" s="320"/>
      <c r="G623" s="320"/>
      <c r="H623" s="322"/>
      <c r="I623" s="322"/>
      <c r="J623" s="322"/>
      <c r="K623" s="322"/>
      <c r="L623" s="322"/>
      <c r="M623" s="322"/>
      <c r="N623" s="322"/>
      <c r="R623" s="277"/>
    </row>
    <row r="624" spans="1:18" s="302" customFormat="1">
      <c r="A624" s="320"/>
      <c r="B624" s="320"/>
      <c r="C624" s="320"/>
      <c r="D624" s="320"/>
      <c r="E624" s="320"/>
      <c r="F624" s="320"/>
      <c r="G624" s="320"/>
      <c r="H624" s="322"/>
      <c r="I624" s="322"/>
      <c r="J624" s="322"/>
      <c r="K624" s="322"/>
      <c r="L624" s="322"/>
      <c r="M624" s="322"/>
      <c r="N624" s="322"/>
      <c r="R624" s="277"/>
    </row>
    <row r="625" spans="1:18" s="302" customFormat="1">
      <c r="A625" s="320"/>
      <c r="B625" s="320"/>
      <c r="C625" s="320"/>
      <c r="D625" s="320"/>
      <c r="E625" s="320"/>
      <c r="F625" s="320"/>
      <c r="G625" s="320"/>
      <c r="H625" s="322"/>
      <c r="I625" s="322"/>
      <c r="J625" s="322"/>
      <c r="K625" s="322"/>
      <c r="L625" s="322"/>
      <c r="M625" s="322"/>
      <c r="N625" s="322"/>
      <c r="R625" s="277"/>
    </row>
    <row r="626" spans="1:18" s="302" customFormat="1">
      <c r="A626" s="320"/>
      <c r="B626" s="320"/>
      <c r="C626" s="320"/>
      <c r="D626" s="320"/>
      <c r="E626" s="320"/>
      <c r="F626" s="320"/>
      <c r="G626" s="320"/>
      <c r="H626" s="322"/>
      <c r="I626" s="322"/>
      <c r="J626" s="322"/>
      <c r="K626" s="322"/>
      <c r="L626" s="322"/>
      <c r="M626" s="322"/>
      <c r="N626" s="322"/>
      <c r="R626" s="277"/>
    </row>
    <row r="627" spans="1:18" s="302" customFormat="1">
      <c r="A627" s="320"/>
      <c r="B627" s="320"/>
      <c r="C627" s="320"/>
      <c r="D627" s="320"/>
      <c r="E627" s="320"/>
      <c r="F627" s="320"/>
      <c r="G627" s="320"/>
      <c r="H627" s="322"/>
      <c r="I627" s="322"/>
      <c r="J627" s="322"/>
      <c r="K627" s="322"/>
      <c r="L627" s="322"/>
      <c r="M627" s="322"/>
      <c r="N627" s="322"/>
      <c r="R627" s="277"/>
    </row>
    <row r="628" spans="1:18" s="302" customFormat="1">
      <c r="A628" s="320"/>
      <c r="B628" s="320"/>
      <c r="C628" s="320"/>
      <c r="D628" s="320"/>
      <c r="E628" s="320"/>
      <c r="F628" s="320"/>
      <c r="G628" s="320"/>
      <c r="H628" s="322"/>
      <c r="I628" s="322"/>
      <c r="J628" s="322"/>
      <c r="K628" s="322"/>
      <c r="L628" s="322"/>
      <c r="M628" s="322"/>
      <c r="N628" s="322"/>
      <c r="R628" s="277"/>
    </row>
    <row r="629" spans="1:18" s="302" customFormat="1">
      <c r="A629" s="320"/>
      <c r="B629" s="320"/>
      <c r="C629" s="320"/>
      <c r="D629" s="320"/>
      <c r="E629" s="320"/>
      <c r="F629" s="320"/>
      <c r="G629" s="320"/>
      <c r="H629" s="322"/>
      <c r="I629" s="322"/>
      <c r="J629" s="322"/>
      <c r="K629" s="322"/>
      <c r="L629" s="322"/>
      <c r="M629" s="322"/>
      <c r="N629" s="322"/>
      <c r="R629" s="277"/>
    </row>
    <row r="630" spans="1:18" s="302" customFormat="1">
      <c r="A630" s="320"/>
      <c r="B630" s="320"/>
      <c r="C630" s="320"/>
      <c r="D630" s="320"/>
      <c r="E630" s="320"/>
      <c r="F630" s="320"/>
      <c r="G630" s="320"/>
      <c r="H630" s="322"/>
      <c r="I630" s="322"/>
      <c r="J630" s="322"/>
      <c r="K630" s="322"/>
      <c r="L630" s="322"/>
      <c r="M630" s="322"/>
      <c r="N630" s="322"/>
      <c r="R630" s="277"/>
    </row>
    <row r="631" spans="1:18" s="302" customFormat="1">
      <c r="A631" s="320"/>
      <c r="B631" s="320"/>
      <c r="C631" s="320"/>
      <c r="D631" s="320"/>
      <c r="E631" s="320"/>
      <c r="F631" s="320"/>
      <c r="G631" s="320"/>
      <c r="H631" s="322"/>
      <c r="I631" s="322"/>
      <c r="J631" s="322"/>
      <c r="K631" s="322"/>
      <c r="L631" s="322"/>
      <c r="M631" s="322"/>
      <c r="N631" s="322"/>
      <c r="R631" s="277"/>
    </row>
    <row r="632" spans="1:18" s="302" customFormat="1">
      <c r="A632" s="320"/>
      <c r="B632" s="320"/>
      <c r="C632" s="320"/>
      <c r="D632" s="320"/>
      <c r="E632" s="320"/>
      <c r="F632" s="320"/>
      <c r="G632" s="320"/>
      <c r="H632" s="322"/>
      <c r="I632" s="322"/>
      <c r="J632" s="322"/>
      <c r="K632" s="322"/>
      <c r="L632" s="322"/>
      <c r="M632" s="322"/>
      <c r="N632" s="322"/>
      <c r="R632" s="277"/>
    </row>
    <row r="633" spans="1:18" s="302" customFormat="1">
      <c r="A633" s="320"/>
      <c r="B633" s="320"/>
      <c r="C633" s="320"/>
      <c r="D633" s="320"/>
      <c r="E633" s="320"/>
      <c r="F633" s="320"/>
      <c r="G633" s="320"/>
      <c r="H633" s="322"/>
      <c r="I633" s="322"/>
      <c r="J633" s="322"/>
      <c r="K633" s="322"/>
      <c r="L633" s="322"/>
      <c r="M633" s="322"/>
      <c r="N633" s="322"/>
      <c r="R633" s="277"/>
    </row>
    <row r="634" spans="1:18" s="302" customFormat="1">
      <c r="A634" s="320"/>
      <c r="B634" s="320"/>
      <c r="C634" s="320"/>
      <c r="D634" s="320"/>
      <c r="E634" s="320"/>
      <c r="F634" s="320"/>
      <c r="G634" s="320"/>
      <c r="H634" s="322"/>
      <c r="I634" s="322"/>
      <c r="J634" s="322"/>
      <c r="K634" s="322"/>
      <c r="L634" s="322"/>
      <c r="M634" s="322"/>
      <c r="N634" s="322"/>
      <c r="R634" s="277"/>
    </row>
    <row r="635" spans="1:18" s="302" customFormat="1">
      <c r="A635" s="320"/>
      <c r="B635" s="320"/>
      <c r="C635" s="320"/>
      <c r="D635" s="320"/>
      <c r="E635" s="320"/>
      <c r="F635" s="320"/>
      <c r="G635" s="320"/>
      <c r="H635" s="322"/>
      <c r="I635" s="322"/>
      <c r="J635" s="322"/>
      <c r="K635" s="322"/>
      <c r="L635" s="322"/>
      <c r="M635" s="322"/>
      <c r="N635" s="322"/>
      <c r="R635" s="277"/>
    </row>
    <row r="636" spans="1:18" s="302" customFormat="1">
      <c r="A636" s="320"/>
      <c r="B636" s="320"/>
      <c r="C636" s="320"/>
      <c r="D636" s="320"/>
      <c r="E636" s="320"/>
      <c r="F636" s="320"/>
      <c r="G636" s="320"/>
      <c r="H636" s="322"/>
      <c r="I636" s="322"/>
      <c r="J636" s="322"/>
      <c r="K636" s="322"/>
      <c r="L636" s="322"/>
      <c r="M636" s="322"/>
      <c r="N636" s="322"/>
      <c r="R636" s="277"/>
    </row>
    <row r="637" spans="1:18" s="302" customFormat="1">
      <c r="A637" s="319"/>
      <c r="B637" s="364"/>
      <c r="C637" s="320"/>
      <c r="D637" s="320"/>
      <c r="E637" s="320"/>
      <c r="F637" s="320"/>
      <c r="G637" s="320"/>
      <c r="H637" s="322"/>
      <c r="I637" s="322"/>
      <c r="J637" s="322"/>
      <c r="K637" s="322"/>
      <c r="L637" s="322"/>
      <c r="M637" s="322"/>
      <c r="N637" s="322"/>
      <c r="R637" s="277"/>
    </row>
    <row r="638" spans="1:18" s="302" customFormat="1">
      <c r="A638" s="319"/>
      <c r="B638" s="364"/>
      <c r="C638" s="320"/>
      <c r="D638" s="320"/>
      <c r="E638" s="320"/>
      <c r="F638" s="320"/>
      <c r="G638" s="320"/>
      <c r="H638" s="322"/>
      <c r="I638" s="322"/>
      <c r="J638" s="322"/>
      <c r="K638" s="322"/>
      <c r="L638" s="322"/>
      <c r="M638" s="322"/>
      <c r="N638" s="322"/>
      <c r="R638" s="277"/>
    </row>
    <row r="639" spans="1:18" s="302" customFormat="1">
      <c r="A639" s="319"/>
      <c r="B639" s="364"/>
      <c r="C639" s="320"/>
      <c r="D639" s="320"/>
      <c r="E639" s="320"/>
      <c r="F639" s="320"/>
      <c r="G639" s="320"/>
      <c r="H639" s="322"/>
      <c r="I639" s="322"/>
      <c r="J639" s="322"/>
      <c r="K639" s="322"/>
      <c r="L639" s="322"/>
      <c r="M639" s="322"/>
      <c r="N639" s="322"/>
      <c r="R639" s="277"/>
    </row>
    <row r="640" spans="1:18" s="302" customFormat="1">
      <c r="A640" s="319"/>
      <c r="B640" s="364"/>
      <c r="C640" s="320"/>
      <c r="D640" s="320"/>
      <c r="E640" s="320"/>
      <c r="F640" s="320"/>
      <c r="G640" s="320"/>
      <c r="H640" s="322"/>
      <c r="I640" s="322"/>
      <c r="J640" s="322"/>
      <c r="K640" s="322"/>
      <c r="L640" s="322"/>
      <c r="M640" s="322"/>
      <c r="N640" s="322"/>
      <c r="R640" s="277"/>
    </row>
    <row r="641" spans="1:18" s="302" customFormat="1">
      <c r="A641" s="319"/>
      <c r="B641" s="364"/>
      <c r="C641" s="320"/>
      <c r="D641" s="320"/>
      <c r="E641" s="320"/>
      <c r="F641" s="320"/>
      <c r="G641" s="320"/>
      <c r="H641" s="322"/>
      <c r="I641" s="322"/>
      <c r="J641" s="322"/>
      <c r="K641" s="322"/>
      <c r="L641" s="322"/>
      <c r="M641" s="322"/>
      <c r="N641" s="322"/>
      <c r="R641" s="277"/>
    </row>
    <row r="642" spans="1:18" s="302" customFormat="1">
      <c r="A642" s="319"/>
      <c r="B642" s="364"/>
      <c r="C642" s="320"/>
      <c r="D642" s="320"/>
      <c r="E642" s="320"/>
      <c r="F642" s="320"/>
      <c r="G642" s="320"/>
      <c r="H642" s="322"/>
      <c r="I642" s="322"/>
      <c r="J642" s="322"/>
      <c r="K642" s="322"/>
      <c r="L642" s="322"/>
      <c r="M642" s="322"/>
      <c r="N642" s="322"/>
      <c r="R642" s="277"/>
    </row>
    <row r="643" spans="1:18" s="302" customFormat="1">
      <c r="E643" s="322"/>
      <c r="F643" s="322"/>
      <c r="G643" s="322"/>
      <c r="H643" s="322"/>
      <c r="I643" s="322"/>
      <c r="J643" s="322"/>
      <c r="K643" s="322"/>
      <c r="L643" s="322"/>
      <c r="M643" s="322"/>
      <c r="N643" s="322"/>
      <c r="R643" s="277"/>
    </row>
    <row r="644" spans="1:18" s="302" customFormat="1">
      <c r="E644" s="322"/>
      <c r="F644" s="322"/>
      <c r="G644" s="322"/>
      <c r="H644" s="322"/>
      <c r="I644" s="322"/>
      <c r="J644" s="322"/>
      <c r="K644" s="322"/>
      <c r="L644" s="322"/>
      <c r="M644" s="322"/>
      <c r="N644" s="322"/>
      <c r="R644" s="277"/>
    </row>
    <row r="645" spans="1:18" s="302" customFormat="1">
      <c r="E645" s="322"/>
      <c r="F645" s="322"/>
      <c r="G645" s="322"/>
      <c r="H645" s="322"/>
      <c r="I645" s="322"/>
      <c r="J645" s="322"/>
      <c r="K645" s="322"/>
      <c r="L645" s="322"/>
      <c r="M645" s="322"/>
      <c r="N645" s="322"/>
      <c r="R645" s="277"/>
    </row>
    <row r="646" spans="1:18" s="302" customFormat="1">
      <c r="E646" s="322"/>
      <c r="F646" s="322"/>
      <c r="G646" s="322"/>
      <c r="H646" s="322"/>
      <c r="I646" s="322"/>
      <c r="J646" s="322"/>
      <c r="K646" s="322"/>
      <c r="L646" s="322"/>
      <c r="M646" s="322"/>
      <c r="N646" s="322"/>
      <c r="R646" s="277"/>
    </row>
    <row r="647" spans="1:18" s="302" customFormat="1">
      <c r="E647" s="322"/>
      <c r="F647" s="322"/>
      <c r="G647" s="322"/>
      <c r="H647" s="322"/>
      <c r="I647" s="322"/>
      <c r="J647" s="322"/>
      <c r="K647" s="322"/>
      <c r="L647" s="322"/>
      <c r="M647" s="322"/>
      <c r="N647" s="322"/>
      <c r="R647" s="277"/>
    </row>
    <row r="648" spans="1:18" s="302" customFormat="1">
      <c r="E648" s="322"/>
      <c r="F648" s="322"/>
      <c r="G648" s="322"/>
      <c r="H648" s="322"/>
      <c r="I648" s="322"/>
      <c r="J648" s="322"/>
      <c r="K648" s="322"/>
      <c r="L648" s="322"/>
      <c r="M648" s="322"/>
      <c r="N648" s="322"/>
      <c r="R648" s="277"/>
    </row>
    <row r="649" spans="1:18" s="302" customFormat="1">
      <c r="E649" s="322"/>
      <c r="F649" s="322"/>
      <c r="G649" s="322"/>
      <c r="H649" s="322"/>
      <c r="I649" s="322"/>
      <c r="J649" s="322"/>
      <c r="K649" s="322"/>
      <c r="L649" s="322"/>
      <c r="M649" s="322"/>
      <c r="N649" s="322"/>
      <c r="R649" s="277"/>
    </row>
    <row r="650" spans="1:18" s="300" customFormat="1">
      <c r="A650" s="354" t="s">
        <v>175</v>
      </c>
      <c r="B650" s="355">
        <f>1+B600</f>
        <v>15</v>
      </c>
      <c r="E650" s="359"/>
      <c r="F650" s="359"/>
      <c r="G650" s="359"/>
      <c r="H650" s="359"/>
      <c r="I650" s="359"/>
      <c r="J650" s="359"/>
      <c r="K650" s="359"/>
      <c r="L650" s="359"/>
      <c r="M650" s="359"/>
      <c r="N650" s="359"/>
      <c r="R650" s="299"/>
    </row>
    <row r="651" spans="1:18" s="300" customFormat="1" ht="12.75" customHeight="1">
      <c r="A651" s="442" t="s">
        <v>177</v>
      </c>
      <c r="B651" s="454"/>
      <c r="C651" s="454"/>
      <c r="D651" s="454"/>
      <c r="E651" s="454"/>
      <c r="F651" s="454"/>
      <c r="G651" s="455"/>
      <c r="H651" s="359"/>
      <c r="I651" s="359"/>
      <c r="J651" s="359"/>
      <c r="K651" s="359"/>
      <c r="L651" s="359"/>
      <c r="M651" s="359"/>
      <c r="N651" s="359"/>
      <c r="R651" s="299"/>
    </row>
    <row r="652" spans="1:18" s="302" customFormat="1">
      <c r="A652" s="363" t="s">
        <v>452</v>
      </c>
      <c r="B652" s="363" t="s">
        <v>142</v>
      </c>
      <c r="C652" s="363" t="s">
        <v>61</v>
      </c>
      <c r="D652" s="363" t="s">
        <v>62</v>
      </c>
      <c r="E652" s="363" t="s">
        <v>20</v>
      </c>
      <c r="F652" s="363" t="s">
        <v>21</v>
      </c>
      <c r="G652" s="363" t="s">
        <v>22</v>
      </c>
      <c r="H652" s="322"/>
      <c r="I652" s="322"/>
      <c r="J652" s="322"/>
      <c r="K652" s="322"/>
      <c r="L652" s="322"/>
      <c r="M652" s="322"/>
      <c r="N652" s="322"/>
      <c r="R652" s="277"/>
    </row>
    <row r="653" spans="1:18" s="302" customFormat="1">
      <c r="A653" s="320"/>
      <c r="B653" s="320"/>
      <c r="C653" s="320"/>
      <c r="D653" s="320"/>
      <c r="E653" s="320"/>
      <c r="F653" s="320"/>
      <c r="G653" s="320"/>
      <c r="H653" s="322"/>
      <c r="I653" s="322"/>
      <c r="J653" s="322"/>
      <c r="K653" s="322"/>
      <c r="L653" s="322"/>
      <c r="M653" s="322"/>
      <c r="N653" s="322"/>
      <c r="R653" s="277"/>
    </row>
    <row r="654" spans="1:18" s="302" customFormat="1">
      <c r="A654" s="320"/>
      <c r="B654" s="320"/>
      <c r="C654" s="320"/>
      <c r="D654" s="320"/>
      <c r="E654" s="320"/>
      <c r="F654" s="320"/>
      <c r="G654" s="320"/>
      <c r="H654" s="322"/>
      <c r="I654" s="322"/>
      <c r="J654" s="322"/>
      <c r="K654" s="322"/>
      <c r="L654" s="322"/>
      <c r="M654" s="322"/>
      <c r="N654" s="322"/>
      <c r="R654" s="277"/>
    </row>
    <row r="655" spans="1:18" s="302" customFormat="1">
      <c r="A655" s="320"/>
      <c r="B655" s="320"/>
      <c r="C655" s="320"/>
      <c r="D655" s="320"/>
      <c r="E655" s="320"/>
      <c r="F655" s="320"/>
      <c r="G655" s="320"/>
      <c r="H655" s="322"/>
      <c r="I655" s="322"/>
      <c r="J655" s="322"/>
      <c r="K655" s="322"/>
      <c r="L655" s="322"/>
      <c r="M655" s="322"/>
      <c r="N655" s="322"/>
      <c r="R655" s="277"/>
    </row>
    <row r="656" spans="1:18" s="302" customFormat="1">
      <c r="A656" s="320"/>
      <c r="B656" s="320"/>
      <c r="C656" s="320"/>
      <c r="D656" s="320"/>
      <c r="E656" s="320"/>
      <c r="F656" s="320"/>
      <c r="G656" s="320"/>
      <c r="H656" s="322"/>
      <c r="I656" s="322"/>
      <c r="J656" s="322"/>
      <c r="K656" s="322"/>
      <c r="L656" s="322"/>
      <c r="M656" s="322"/>
      <c r="N656" s="322"/>
      <c r="R656" s="277"/>
    </row>
    <row r="657" spans="1:18" s="302" customFormat="1">
      <c r="A657" s="320"/>
      <c r="B657" s="320"/>
      <c r="C657" s="320"/>
      <c r="D657" s="320"/>
      <c r="E657" s="320"/>
      <c r="F657" s="320"/>
      <c r="G657" s="320"/>
      <c r="H657" s="322"/>
      <c r="I657" s="322"/>
      <c r="J657" s="322"/>
      <c r="K657" s="322"/>
      <c r="L657" s="322"/>
      <c r="M657" s="322"/>
      <c r="N657" s="322"/>
      <c r="R657" s="277"/>
    </row>
    <row r="658" spans="1:18" s="302" customFormat="1">
      <c r="A658" s="320"/>
      <c r="B658" s="320"/>
      <c r="C658" s="320"/>
      <c r="D658" s="320"/>
      <c r="E658" s="320"/>
      <c r="F658" s="320"/>
      <c r="G658" s="320"/>
      <c r="H658" s="322"/>
      <c r="I658" s="322"/>
      <c r="J658" s="322"/>
      <c r="K658" s="322"/>
      <c r="L658" s="322"/>
      <c r="M658" s="322"/>
      <c r="N658" s="322"/>
      <c r="R658" s="277"/>
    </row>
    <row r="659" spans="1:18" s="302" customFormat="1">
      <c r="A659" s="320"/>
      <c r="B659" s="320"/>
      <c r="C659" s="320"/>
      <c r="D659" s="320"/>
      <c r="E659" s="320"/>
      <c r="F659" s="320"/>
      <c r="G659" s="320"/>
      <c r="H659" s="322"/>
      <c r="I659" s="322"/>
      <c r="J659" s="322"/>
      <c r="K659" s="322"/>
      <c r="L659" s="322"/>
      <c r="M659" s="322"/>
      <c r="N659" s="322"/>
      <c r="R659" s="277"/>
    </row>
    <row r="660" spans="1:18" s="302" customFormat="1">
      <c r="A660" s="320"/>
      <c r="B660" s="320"/>
      <c r="C660" s="320"/>
      <c r="D660" s="320"/>
      <c r="E660" s="320"/>
      <c r="F660" s="320"/>
      <c r="G660" s="320"/>
      <c r="H660" s="322"/>
      <c r="I660" s="322"/>
      <c r="J660" s="322"/>
      <c r="K660" s="322"/>
      <c r="L660" s="322"/>
      <c r="M660" s="322"/>
      <c r="N660" s="322"/>
      <c r="R660" s="277"/>
    </row>
    <row r="661" spans="1:18" s="302" customFormat="1">
      <c r="A661" s="320"/>
      <c r="B661" s="320"/>
      <c r="C661" s="320"/>
      <c r="D661" s="320"/>
      <c r="E661" s="320"/>
      <c r="F661" s="320"/>
      <c r="G661" s="320"/>
      <c r="H661" s="322"/>
      <c r="I661" s="322"/>
      <c r="J661" s="322"/>
      <c r="K661" s="322"/>
      <c r="L661" s="322"/>
      <c r="M661" s="322"/>
      <c r="N661" s="322"/>
      <c r="R661" s="277"/>
    </row>
    <row r="662" spans="1:18" s="302" customFormat="1">
      <c r="A662" s="320"/>
      <c r="B662" s="320"/>
      <c r="C662" s="320"/>
      <c r="D662" s="320"/>
      <c r="E662" s="320"/>
      <c r="F662" s="320"/>
      <c r="G662" s="320"/>
      <c r="H662" s="322"/>
      <c r="I662" s="322"/>
      <c r="J662" s="322"/>
      <c r="K662" s="322"/>
      <c r="L662" s="322"/>
      <c r="M662" s="322"/>
      <c r="N662" s="322"/>
      <c r="R662" s="277"/>
    </row>
    <row r="663" spans="1:18" s="302" customFormat="1">
      <c r="A663" s="320"/>
      <c r="B663" s="320"/>
      <c r="C663" s="320"/>
      <c r="D663" s="320"/>
      <c r="E663" s="320"/>
      <c r="F663" s="320"/>
      <c r="G663" s="320"/>
      <c r="H663" s="322"/>
      <c r="I663" s="322"/>
      <c r="J663" s="322"/>
      <c r="K663" s="322"/>
      <c r="L663" s="322"/>
      <c r="M663" s="322"/>
      <c r="N663" s="322"/>
      <c r="R663" s="277"/>
    </row>
    <row r="664" spans="1:18" s="302" customFormat="1">
      <c r="A664" s="320"/>
      <c r="B664" s="320"/>
      <c r="C664" s="320"/>
      <c r="D664" s="320"/>
      <c r="E664" s="320"/>
      <c r="F664" s="320"/>
      <c r="G664" s="320"/>
      <c r="H664" s="322"/>
      <c r="I664" s="322"/>
      <c r="J664" s="322"/>
      <c r="K664" s="322"/>
      <c r="L664" s="322"/>
      <c r="M664" s="322"/>
      <c r="N664" s="322"/>
      <c r="R664" s="277"/>
    </row>
    <row r="665" spans="1:18" s="302" customFormat="1">
      <c r="A665" s="320"/>
      <c r="B665" s="320"/>
      <c r="C665" s="320"/>
      <c r="D665" s="320"/>
      <c r="E665" s="320"/>
      <c r="F665" s="320"/>
      <c r="G665" s="320"/>
      <c r="H665" s="322"/>
      <c r="I665" s="322"/>
      <c r="J665" s="322"/>
      <c r="K665" s="322"/>
      <c r="L665" s="322"/>
      <c r="M665" s="322"/>
      <c r="N665" s="322"/>
      <c r="R665" s="277"/>
    </row>
    <row r="666" spans="1:18" s="302" customFormat="1">
      <c r="A666" s="320"/>
      <c r="B666" s="320"/>
      <c r="C666" s="320"/>
      <c r="D666" s="320"/>
      <c r="E666" s="320"/>
      <c r="F666" s="320"/>
      <c r="G666" s="320"/>
      <c r="H666" s="322"/>
      <c r="I666" s="322"/>
      <c r="J666" s="322"/>
      <c r="K666" s="322"/>
      <c r="L666" s="322"/>
      <c r="M666" s="322"/>
      <c r="N666" s="322"/>
      <c r="R666" s="277"/>
    </row>
    <row r="667" spans="1:18" s="302" customFormat="1">
      <c r="A667" s="320"/>
      <c r="B667" s="320"/>
      <c r="C667" s="320"/>
      <c r="D667" s="320"/>
      <c r="E667" s="320"/>
      <c r="F667" s="320"/>
      <c r="G667" s="320"/>
      <c r="H667" s="322"/>
      <c r="I667" s="322"/>
      <c r="J667" s="322"/>
      <c r="K667" s="322"/>
      <c r="L667" s="322"/>
      <c r="M667" s="322"/>
      <c r="N667" s="322"/>
      <c r="R667" s="277"/>
    </row>
    <row r="668" spans="1:18" s="302" customFormat="1">
      <c r="A668" s="320"/>
      <c r="B668" s="320"/>
      <c r="C668" s="320"/>
      <c r="D668" s="320"/>
      <c r="E668" s="320"/>
      <c r="F668" s="320"/>
      <c r="G668" s="320"/>
      <c r="H668" s="322"/>
      <c r="I668" s="322"/>
      <c r="J668" s="322"/>
      <c r="K668" s="322"/>
      <c r="L668" s="322"/>
      <c r="M668" s="322"/>
      <c r="N668" s="322"/>
      <c r="R668" s="277"/>
    </row>
    <row r="669" spans="1:18" s="302" customFormat="1">
      <c r="A669" s="320"/>
      <c r="B669" s="320"/>
      <c r="C669" s="320"/>
      <c r="D669" s="320"/>
      <c r="E669" s="320"/>
      <c r="F669" s="320"/>
      <c r="G669" s="320"/>
      <c r="H669" s="322"/>
      <c r="I669" s="322"/>
      <c r="J669" s="322"/>
      <c r="K669" s="322"/>
      <c r="L669" s="322"/>
      <c r="M669" s="322"/>
      <c r="N669" s="322"/>
      <c r="R669" s="277"/>
    </row>
    <row r="670" spans="1:18" s="302" customFormat="1">
      <c r="A670" s="320"/>
      <c r="B670" s="320"/>
      <c r="C670" s="320"/>
      <c r="D670" s="320"/>
      <c r="E670" s="320"/>
      <c r="F670" s="320"/>
      <c r="G670" s="320"/>
      <c r="H670" s="322"/>
      <c r="I670" s="322"/>
      <c r="J670" s="322"/>
      <c r="K670" s="322"/>
      <c r="L670" s="322"/>
      <c r="M670" s="322"/>
      <c r="N670" s="322"/>
      <c r="R670" s="277"/>
    </row>
    <row r="671" spans="1:18" s="302" customFormat="1">
      <c r="A671" s="320"/>
      <c r="B671" s="320"/>
      <c r="C671" s="320"/>
      <c r="D671" s="320"/>
      <c r="E671" s="320"/>
      <c r="F671" s="320"/>
      <c r="G671" s="320"/>
      <c r="H671" s="322"/>
      <c r="I671" s="322"/>
      <c r="J671" s="322"/>
      <c r="K671" s="322"/>
      <c r="L671" s="322"/>
      <c r="M671" s="322"/>
      <c r="N671" s="322"/>
      <c r="R671" s="277"/>
    </row>
    <row r="672" spans="1:18" s="302" customFormat="1">
      <c r="A672" s="320"/>
      <c r="B672" s="320"/>
      <c r="C672" s="320"/>
      <c r="D672" s="320"/>
      <c r="E672" s="320"/>
      <c r="F672" s="320"/>
      <c r="G672" s="320"/>
      <c r="H672" s="322"/>
      <c r="I672" s="322"/>
      <c r="J672" s="322"/>
      <c r="K672" s="322"/>
      <c r="L672" s="322"/>
      <c r="M672" s="322"/>
      <c r="N672" s="322"/>
      <c r="R672" s="277"/>
    </row>
    <row r="673" spans="1:18" s="302" customFormat="1">
      <c r="A673" s="320"/>
      <c r="B673" s="320"/>
      <c r="C673" s="320"/>
      <c r="D673" s="320"/>
      <c r="E673" s="320"/>
      <c r="F673" s="320"/>
      <c r="G673" s="320"/>
      <c r="H673" s="322"/>
      <c r="I673" s="322"/>
      <c r="J673" s="322"/>
      <c r="K673" s="322"/>
      <c r="L673" s="322"/>
      <c r="M673" s="322"/>
      <c r="N673" s="322"/>
      <c r="R673" s="277"/>
    </row>
    <row r="674" spans="1:18" s="302" customFormat="1">
      <c r="A674" s="320"/>
      <c r="B674" s="320"/>
      <c r="C674" s="320"/>
      <c r="D674" s="320"/>
      <c r="E674" s="320"/>
      <c r="F674" s="320"/>
      <c r="G674" s="320"/>
      <c r="H674" s="322"/>
      <c r="I674" s="322"/>
      <c r="J674" s="322"/>
      <c r="K674" s="322"/>
      <c r="L674" s="322"/>
      <c r="M674" s="322"/>
      <c r="N674" s="322"/>
      <c r="R674" s="277"/>
    </row>
    <row r="675" spans="1:18" s="302" customFormat="1">
      <c r="A675" s="320"/>
      <c r="B675" s="320"/>
      <c r="C675" s="320"/>
      <c r="D675" s="320"/>
      <c r="E675" s="320"/>
      <c r="F675" s="320"/>
      <c r="G675" s="320"/>
      <c r="H675" s="322"/>
      <c r="I675" s="322"/>
      <c r="J675" s="322"/>
      <c r="K675" s="322"/>
      <c r="L675" s="322"/>
      <c r="M675" s="322"/>
      <c r="N675" s="322"/>
      <c r="R675" s="277"/>
    </row>
    <row r="676" spans="1:18" s="302" customFormat="1">
      <c r="A676" s="320"/>
      <c r="B676" s="320"/>
      <c r="C676" s="320"/>
      <c r="D676" s="320"/>
      <c r="E676" s="320"/>
      <c r="F676" s="320"/>
      <c r="G676" s="320"/>
      <c r="H676" s="322"/>
      <c r="I676" s="322"/>
      <c r="J676" s="322"/>
      <c r="K676" s="322"/>
      <c r="L676" s="322"/>
      <c r="M676" s="322"/>
      <c r="N676" s="322"/>
      <c r="R676" s="277"/>
    </row>
    <row r="677" spans="1:18" s="302" customFormat="1">
      <c r="A677" s="320"/>
      <c r="B677" s="320"/>
      <c r="C677" s="320"/>
      <c r="D677" s="320"/>
      <c r="E677" s="320"/>
      <c r="F677" s="320"/>
      <c r="G677" s="320"/>
      <c r="H677" s="322"/>
      <c r="I677" s="322"/>
      <c r="J677" s="322"/>
      <c r="K677" s="322"/>
      <c r="L677" s="322"/>
      <c r="M677" s="322"/>
      <c r="N677" s="322"/>
      <c r="R677" s="277"/>
    </row>
    <row r="678" spans="1:18" s="302" customFormat="1">
      <c r="A678" s="320"/>
      <c r="B678" s="320"/>
      <c r="C678" s="320"/>
      <c r="D678" s="320"/>
      <c r="E678" s="320"/>
      <c r="F678" s="320"/>
      <c r="G678" s="320"/>
      <c r="H678" s="322"/>
      <c r="I678" s="322"/>
      <c r="J678" s="322"/>
      <c r="K678" s="322"/>
      <c r="L678" s="322"/>
      <c r="M678" s="322"/>
      <c r="N678" s="322"/>
      <c r="R678" s="277"/>
    </row>
    <row r="679" spans="1:18" s="302" customFormat="1">
      <c r="A679" s="320"/>
      <c r="B679" s="320"/>
      <c r="C679" s="320"/>
      <c r="D679" s="320"/>
      <c r="E679" s="320"/>
      <c r="F679" s="320"/>
      <c r="G679" s="320"/>
      <c r="H679" s="322"/>
      <c r="I679" s="322"/>
      <c r="J679" s="322"/>
      <c r="K679" s="322"/>
      <c r="L679" s="322"/>
      <c r="M679" s="322"/>
      <c r="N679" s="322"/>
      <c r="R679" s="277"/>
    </row>
    <row r="680" spans="1:18" s="302" customFormat="1">
      <c r="A680" s="320"/>
      <c r="B680" s="320"/>
      <c r="C680" s="320"/>
      <c r="D680" s="320"/>
      <c r="E680" s="320"/>
      <c r="F680" s="320"/>
      <c r="G680" s="320"/>
      <c r="H680" s="322"/>
      <c r="I680" s="322"/>
      <c r="J680" s="322"/>
      <c r="K680" s="322"/>
      <c r="L680" s="322"/>
      <c r="M680" s="322"/>
      <c r="N680" s="322"/>
      <c r="R680" s="277"/>
    </row>
    <row r="681" spans="1:18" s="302" customFormat="1">
      <c r="A681" s="320"/>
      <c r="B681" s="320"/>
      <c r="C681" s="320"/>
      <c r="D681" s="320"/>
      <c r="E681" s="320"/>
      <c r="F681" s="320"/>
      <c r="G681" s="320"/>
      <c r="H681" s="322"/>
      <c r="I681" s="322"/>
      <c r="J681" s="322"/>
      <c r="K681" s="322"/>
      <c r="L681" s="322"/>
      <c r="M681" s="322"/>
      <c r="N681" s="322"/>
      <c r="R681" s="277"/>
    </row>
    <row r="682" spans="1:18" s="302" customFormat="1">
      <c r="A682" s="320"/>
      <c r="B682" s="320"/>
      <c r="C682" s="320"/>
      <c r="D682" s="320"/>
      <c r="E682" s="320"/>
      <c r="F682" s="320"/>
      <c r="G682" s="320"/>
      <c r="H682" s="322"/>
      <c r="I682" s="322"/>
      <c r="J682" s="322"/>
      <c r="K682" s="322"/>
      <c r="L682" s="322"/>
      <c r="M682" s="322"/>
      <c r="N682" s="322"/>
      <c r="R682" s="277"/>
    </row>
    <row r="683" spans="1:18" s="302" customFormat="1">
      <c r="A683" s="320"/>
      <c r="B683" s="320"/>
      <c r="C683" s="320"/>
      <c r="D683" s="320"/>
      <c r="E683" s="320"/>
      <c r="F683" s="320"/>
      <c r="G683" s="320"/>
      <c r="H683" s="322"/>
      <c r="I683" s="322"/>
      <c r="J683" s="322"/>
      <c r="K683" s="322"/>
      <c r="L683" s="322"/>
      <c r="M683" s="322"/>
      <c r="N683" s="322"/>
      <c r="R683" s="277"/>
    </row>
    <row r="684" spans="1:18" s="302" customFormat="1">
      <c r="A684" s="320"/>
      <c r="B684" s="320"/>
      <c r="C684" s="320"/>
      <c r="D684" s="320"/>
      <c r="E684" s="320"/>
      <c r="F684" s="320"/>
      <c r="G684" s="320"/>
      <c r="H684" s="322"/>
      <c r="I684" s="322"/>
      <c r="J684" s="322"/>
      <c r="K684" s="322"/>
      <c r="L684" s="322"/>
      <c r="M684" s="322"/>
      <c r="N684" s="322"/>
      <c r="R684" s="277"/>
    </row>
    <row r="685" spans="1:18" s="302" customFormat="1">
      <c r="A685" s="320"/>
      <c r="B685" s="320"/>
      <c r="C685" s="320"/>
      <c r="D685" s="320"/>
      <c r="E685" s="320"/>
      <c r="F685" s="320"/>
      <c r="G685" s="320"/>
      <c r="H685" s="322"/>
      <c r="I685" s="322"/>
      <c r="J685" s="322"/>
      <c r="K685" s="322"/>
      <c r="L685" s="322"/>
      <c r="M685" s="322"/>
      <c r="N685" s="322"/>
      <c r="R685" s="277"/>
    </row>
    <row r="686" spans="1:18" s="302" customFormat="1">
      <c r="A686" s="320"/>
      <c r="B686" s="320"/>
      <c r="C686" s="320"/>
      <c r="D686" s="320"/>
      <c r="E686" s="320"/>
      <c r="F686" s="320"/>
      <c r="G686" s="320"/>
      <c r="H686" s="322"/>
      <c r="I686" s="322"/>
      <c r="J686" s="322"/>
      <c r="K686" s="322"/>
      <c r="L686" s="322"/>
      <c r="M686" s="322"/>
      <c r="N686" s="322"/>
      <c r="R686" s="277"/>
    </row>
    <row r="687" spans="1:18" s="302" customFormat="1">
      <c r="A687" s="319"/>
      <c r="B687" s="364"/>
      <c r="C687" s="320"/>
      <c r="D687" s="320"/>
      <c r="E687" s="320"/>
      <c r="F687" s="320"/>
      <c r="G687" s="320"/>
      <c r="H687" s="322"/>
      <c r="I687" s="322"/>
      <c r="J687" s="322"/>
      <c r="K687" s="322"/>
      <c r="L687" s="322"/>
      <c r="M687" s="322"/>
      <c r="N687" s="322"/>
      <c r="R687" s="277"/>
    </row>
    <row r="688" spans="1:18" s="302" customFormat="1">
      <c r="A688" s="319"/>
      <c r="B688" s="364"/>
      <c r="C688" s="320"/>
      <c r="D688" s="320"/>
      <c r="E688" s="320"/>
      <c r="F688" s="320"/>
      <c r="G688" s="320"/>
      <c r="H688" s="322"/>
      <c r="I688" s="322"/>
      <c r="J688" s="322"/>
      <c r="K688" s="322"/>
      <c r="L688" s="322"/>
      <c r="M688" s="322"/>
      <c r="N688" s="322"/>
      <c r="R688" s="277"/>
    </row>
    <row r="689" spans="1:18" s="302" customFormat="1">
      <c r="A689" s="319"/>
      <c r="B689" s="364"/>
      <c r="C689" s="320"/>
      <c r="D689" s="320"/>
      <c r="E689" s="320"/>
      <c r="F689" s="320"/>
      <c r="G689" s="320"/>
      <c r="H689" s="322"/>
      <c r="I689" s="322"/>
      <c r="J689" s="322"/>
      <c r="K689" s="322"/>
      <c r="L689" s="322"/>
      <c r="M689" s="322"/>
      <c r="N689" s="322"/>
      <c r="R689" s="277"/>
    </row>
    <row r="690" spans="1:18" s="302" customFormat="1">
      <c r="A690" s="319"/>
      <c r="B690" s="364"/>
      <c r="C690" s="320"/>
      <c r="D690" s="320"/>
      <c r="E690" s="320"/>
      <c r="F690" s="320"/>
      <c r="G690" s="320"/>
      <c r="H690" s="322"/>
      <c r="I690" s="322"/>
      <c r="J690" s="322"/>
      <c r="K690" s="322"/>
      <c r="L690" s="322"/>
      <c r="M690" s="322"/>
      <c r="N690" s="322"/>
      <c r="R690" s="277"/>
    </row>
    <row r="691" spans="1:18" s="302" customFormat="1">
      <c r="A691" s="319"/>
      <c r="B691" s="364"/>
      <c r="C691" s="320"/>
      <c r="D691" s="320"/>
      <c r="E691" s="320"/>
      <c r="F691" s="320"/>
      <c r="G691" s="320"/>
      <c r="H691" s="322"/>
      <c r="I691" s="322"/>
      <c r="J691" s="322"/>
      <c r="K691" s="322"/>
      <c r="L691" s="322"/>
      <c r="M691" s="322"/>
      <c r="N691" s="322"/>
      <c r="R691" s="277"/>
    </row>
    <row r="692" spans="1:18" s="302" customFormat="1">
      <c r="A692" s="319"/>
      <c r="B692" s="364"/>
      <c r="C692" s="320"/>
      <c r="D692" s="320"/>
      <c r="E692" s="320"/>
      <c r="F692" s="320"/>
      <c r="G692" s="320"/>
      <c r="H692" s="322"/>
      <c r="I692" s="322"/>
      <c r="J692" s="322"/>
      <c r="K692" s="322"/>
      <c r="L692" s="322"/>
      <c r="M692" s="322"/>
      <c r="N692" s="322"/>
      <c r="R692" s="277"/>
    </row>
    <row r="693" spans="1:18" s="302" customFormat="1">
      <c r="E693" s="322"/>
      <c r="F693" s="322"/>
      <c r="G693" s="322"/>
      <c r="H693" s="322"/>
      <c r="I693" s="322"/>
      <c r="J693" s="322"/>
      <c r="K693" s="322"/>
      <c r="L693" s="322"/>
      <c r="M693" s="322"/>
      <c r="N693" s="322"/>
      <c r="R693" s="277"/>
    </row>
    <row r="694" spans="1:18" s="302" customFormat="1">
      <c r="E694" s="322"/>
      <c r="F694" s="322"/>
      <c r="G694" s="322"/>
      <c r="H694" s="322"/>
      <c r="I694" s="322"/>
      <c r="J694" s="322"/>
      <c r="K694" s="322"/>
      <c r="L694" s="322"/>
      <c r="M694" s="322"/>
      <c r="N694" s="322"/>
      <c r="R694" s="277"/>
    </row>
    <row r="695" spans="1:18" s="302" customFormat="1">
      <c r="E695" s="322"/>
      <c r="F695" s="322"/>
      <c r="G695" s="322"/>
      <c r="H695" s="322"/>
      <c r="I695" s="322"/>
      <c r="J695" s="322"/>
      <c r="K695" s="322"/>
      <c r="L695" s="322"/>
      <c r="M695" s="322"/>
      <c r="N695" s="322"/>
      <c r="R695" s="277"/>
    </row>
    <row r="696" spans="1:18" s="302" customFormat="1">
      <c r="E696" s="322"/>
      <c r="F696" s="322"/>
      <c r="G696" s="322"/>
      <c r="H696" s="322"/>
      <c r="I696" s="322"/>
      <c r="J696" s="322"/>
      <c r="K696" s="322"/>
      <c r="L696" s="322"/>
      <c r="M696" s="322"/>
      <c r="N696" s="322"/>
      <c r="R696" s="277"/>
    </row>
    <row r="697" spans="1:18" s="302" customFormat="1">
      <c r="E697" s="322"/>
      <c r="F697" s="322"/>
      <c r="G697" s="322"/>
      <c r="H697" s="322"/>
      <c r="I697" s="322"/>
      <c r="J697" s="322"/>
      <c r="K697" s="322"/>
      <c r="L697" s="322"/>
      <c r="M697" s="322"/>
      <c r="N697" s="322"/>
      <c r="R697" s="277"/>
    </row>
    <row r="698" spans="1:18" s="302" customFormat="1">
      <c r="E698" s="322"/>
      <c r="F698" s="322"/>
      <c r="G698" s="322"/>
      <c r="H698" s="322"/>
      <c r="I698" s="322"/>
      <c r="J698" s="322"/>
      <c r="K698" s="322"/>
      <c r="L698" s="322"/>
      <c r="M698" s="322"/>
      <c r="N698" s="322"/>
      <c r="R698" s="277"/>
    </row>
    <row r="699" spans="1:18" s="302" customFormat="1">
      <c r="E699" s="322"/>
      <c r="F699" s="322"/>
      <c r="G699" s="322"/>
      <c r="H699" s="322"/>
      <c r="I699" s="322"/>
      <c r="J699" s="322"/>
      <c r="K699" s="322"/>
      <c r="L699" s="322"/>
      <c r="M699" s="322"/>
      <c r="N699" s="322"/>
      <c r="R699" s="277"/>
    </row>
    <row r="700" spans="1:18" s="302" customFormat="1">
      <c r="A700" s="354" t="s">
        <v>175</v>
      </c>
      <c r="B700" s="355">
        <f>1+B650</f>
        <v>16</v>
      </c>
      <c r="C700" s="300"/>
      <c r="D700" s="300"/>
      <c r="E700" s="359"/>
      <c r="F700" s="359"/>
      <c r="G700" s="359"/>
      <c r="H700" s="322"/>
      <c r="I700" s="322"/>
      <c r="J700" s="322"/>
      <c r="K700" s="322"/>
      <c r="L700" s="322"/>
      <c r="M700" s="322"/>
      <c r="N700" s="322"/>
      <c r="R700" s="277"/>
    </row>
    <row r="701" spans="1:18" s="302" customFormat="1" ht="12.75" customHeight="1">
      <c r="A701" s="442" t="s">
        <v>241</v>
      </c>
      <c r="B701" s="454"/>
      <c r="C701" s="454"/>
      <c r="D701" s="454"/>
      <c r="E701" s="454"/>
      <c r="F701" s="454"/>
      <c r="G701" s="455"/>
      <c r="H701" s="322"/>
      <c r="I701" s="322"/>
      <c r="J701" s="322"/>
      <c r="K701" s="322"/>
      <c r="L701" s="322"/>
      <c r="M701" s="322"/>
      <c r="N701" s="322"/>
      <c r="R701" s="277"/>
    </row>
    <row r="702" spans="1:18" s="302" customFormat="1">
      <c r="A702" s="363" t="s">
        <v>452</v>
      </c>
      <c r="B702" s="363" t="s">
        <v>142</v>
      </c>
      <c r="C702" s="363" t="s">
        <v>61</v>
      </c>
      <c r="D702" s="363" t="s">
        <v>62</v>
      </c>
      <c r="E702" s="363" t="s">
        <v>20</v>
      </c>
      <c r="F702" s="363" t="s">
        <v>21</v>
      </c>
      <c r="G702" s="363" t="s">
        <v>22</v>
      </c>
      <c r="H702" s="322"/>
      <c r="I702" s="322"/>
      <c r="J702" s="322"/>
      <c r="K702" s="322"/>
      <c r="L702" s="322"/>
      <c r="M702" s="322"/>
      <c r="N702" s="322"/>
      <c r="R702" s="277"/>
    </row>
    <row r="703" spans="1:18" s="302" customFormat="1">
      <c r="A703" s="320"/>
      <c r="B703" s="320"/>
      <c r="C703" s="320"/>
      <c r="D703" s="320"/>
      <c r="E703" s="320"/>
      <c r="F703" s="320"/>
      <c r="G703" s="320"/>
      <c r="H703" s="322"/>
      <c r="I703" s="322"/>
      <c r="J703" s="322"/>
      <c r="K703" s="322"/>
      <c r="L703" s="322"/>
      <c r="M703" s="322"/>
      <c r="N703" s="322"/>
      <c r="R703" s="277"/>
    </row>
    <row r="704" spans="1:18" s="302" customFormat="1">
      <c r="A704" s="320"/>
      <c r="B704" s="320"/>
      <c r="C704" s="320"/>
      <c r="D704" s="320"/>
      <c r="E704" s="320"/>
      <c r="F704" s="320"/>
      <c r="G704" s="320"/>
      <c r="H704" s="322"/>
      <c r="I704" s="322"/>
      <c r="J704" s="322"/>
      <c r="K704" s="322"/>
      <c r="L704" s="322"/>
      <c r="M704" s="322"/>
      <c r="N704" s="322"/>
      <c r="R704" s="277"/>
    </row>
    <row r="705" spans="1:18" s="302" customFormat="1">
      <c r="A705" s="320"/>
      <c r="B705" s="320"/>
      <c r="C705" s="320"/>
      <c r="D705" s="320"/>
      <c r="E705" s="320"/>
      <c r="F705" s="320"/>
      <c r="G705" s="320"/>
      <c r="H705" s="322"/>
      <c r="I705" s="322"/>
      <c r="J705" s="322"/>
      <c r="K705" s="322"/>
      <c r="L705" s="322"/>
      <c r="M705" s="322"/>
      <c r="N705" s="322"/>
      <c r="R705" s="277"/>
    </row>
    <row r="706" spans="1:18" s="302" customFormat="1">
      <c r="A706" s="320"/>
      <c r="B706" s="320"/>
      <c r="C706" s="320"/>
      <c r="D706" s="320"/>
      <c r="E706" s="320"/>
      <c r="F706" s="320"/>
      <c r="G706" s="320"/>
      <c r="H706" s="322"/>
      <c r="I706" s="322"/>
      <c r="J706" s="322"/>
      <c r="K706" s="322"/>
      <c r="L706" s="322"/>
      <c r="M706" s="322"/>
      <c r="N706" s="322"/>
      <c r="R706" s="277"/>
    </row>
    <row r="707" spans="1:18" s="302" customFormat="1">
      <c r="A707" s="320"/>
      <c r="B707" s="320"/>
      <c r="C707" s="320"/>
      <c r="D707" s="320"/>
      <c r="E707" s="320"/>
      <c r="F707" s="320"/>
      <c r="G707" s="320"/>
      <c r="H707" s="322"/>
      <c r="I707" s="322"/>
      <c r="J707" s="322"/>
      <c r="K707" s="322"/>
      <c r="L707" s="322"/>
      <c r="M707" s="322"/>
      <c r="N707" s="322"/>
      <c r="R707" s="277"/>
    </row>
    <row r="708" spans="1:18" s="302" customFormat="1">
      <c r="A708" s="320"/>
      <c r="B708" s="320"/>
      <c r="C708" s="320"/>
      <c r="D708" s="320"/>
      <c r="E708" s="320"/>
      <c r="F708" s="320"/>
      <c r="G708" s="320"/>
      <c r="H708" s="322"/>
      <c r="I708" s="322"/>
      <c r="J708" s="322"/>
      <c r="K708" s="322"/>
      <c r="L708" s="322"/>
      <c r="M708" s="322"/>
      <c r="N708" s="322"/>
      <c r="R708" s="277"/>
    </row>
    <row r="709" spans="1:18" s="302" customFormat="1">
      <c r="A709" s="320"/>
      <c r="B709" s="320"/>
      <c r="C709" s="320"/>
      <c r="D709" s="320"/>
      <c r="E709" s="320"/>
      <c r="F709" s="320"/>
      <c r="G709" s="320"/>
      <c r="H709" s="322"/>
      <c r="I709" s="322"/>
      <c r="J709" s="322"/>
      <c r="K709" s="322"/>
      <c r="L709" s="322"/>
      <c r="M709" s="322"/>
      <c r="N709" s="322"/>
      <c r="R709" s="277"/>
    </row>
    <row r="710" spans="1:18" s="302" customFormat="1">
      <c r="A710" s="320"/>
      <c r="B710" s="320"/>
      <c r="C710" s="320"/>
      <c r="D710" s="320"/>
      <c r="E710" s="320"/>
      <c r="F710" s="320"/>
      <c r="G710" s="320"/>
      <c r="H710" s="322"/>
      <c r="I710" s="322"/>
      <c r="J710" s="322"/>
      <c r="K710" s="322"/>
      <c r="L710" s="322"/>
      <c r="M710" s="322"/>
      <c r="N710" s="322"/>
      <c r="R710" s="277"/>
    </row>
    <row r="711" spans="1:18" s="302" customFormat="1">
      <c r="A711" s="320"/>
      <c r="B711" s="320"/>
      <c r="C711" s="320"/>
      <c r="D711" s="320"/>
      <c r="E711" s="320"/>
      <c r="F711" s="320"/>
      <c r="G711" s="320"/>
      <c r="H711" s="322"/>
      <c r="I711" s="322"/>
      <c r="J711" s="322"/>
      <c r="K711" s="322"/>
      <c r="L711" s="322"/>
      <c r="M711" s="322"/>
      <c r="N711" s="322"/>
      <c r="R711" s="277"/>
    </row>
    <row r="712" spans="1:18" s="302" customFormat="1">
      <c r="A712" s="320"/>
      <c r="B712" s="320"/>
      <c r="C712" s="320"/>
      <c r="D712" s="320"/>
      <c r="E712" s="320"/>
      <c r="F712" s="320"/>
      <c r="G712" s="320"/>
      <c r="H712" s="322"/>
      <c r="I712" s="322"/>
      <c r="J712" s="322"/>
      <c r="K712" s="322"/>
      <c r="L712" s="322"/>
      <c r="M712" s="322"/>
      <c r="N712" s="322"/>
      <c r="R712" s="277"/>
    </row>
    <row r="713" spans="1:18" s="302" customFormat="1">
      <c r="A713" s="320"/>
      <c r="B713" s="320"/>
      <c r="C713" s="320"/>
      <c r="D713" s="320"/>
      <c r="E713" s="320"/>
      <c r="F713" s="320"/>
      <c r="G713" s="320"/>
      <c r="H713" s="322"/>
      <c r="I713" s="322"/>
      <c r="J713" s="322"/>
      <c r="K713" s="322"/>
      <c r="L713" s="322"/>
      <c r="M713" s="322"/>
      <c r="N713" s="322"/>
      <c r="R713" s="277"/>
    </row>
    <row r="714" spans="1:18" s="302" customFormat="1">
      <c r="A714" s="320"/>
      <c r="B714" s="320"/>
      <c r="C714" s="320"/>
      <c r="D714" s="320"/>
      <c r="E714" s="320"/>
      <c r="F714" s="320"/>
      <c r="G714" s="320"/>
      <c r="H714" s="322"/>
      <c r="I714" s="322"/>
      <c r="J714" s="322"/>
      <c r="K714" s="322"/>
      <c r="L714" s="322"/>
      <c r="M714" s="322"/>
      <c r="N714" s="322"/>
      <c r="R714" s="277"/>
    </row>
    <row r="715" spans="1:18" s="302" customFormat="1">
      <c r="A715" s="320"/>
      <c r="B715" s="320"/>
      <c r="C715" s="320"/>
      <c r="D715" s="320"/>
      <c r="E715" s="320"/>
      <c r="F715" s="320"/>
      <c r="G715" s="320"/>
      <c r="H715" s="322"/>
      <c r="I715" s="322"/>
      <c r="J715" s="322"/>
      <c r="K715" s="322"/>
      <c r="L715" s="322"/>
      <c r="M715" s="322"/>
      <c r="N715" s="322"/>
      <c r="R715" s="277"/>
    </row>
    <row r="716" spans="1:18" s="302" customFormat="1">
      <c r="A716" s="320"/>
      <c r="B716" s="320"/>
      <c r="C716" s="320"/>
      <c r="D716" s="320"/>
      <c r="E716" s="320"/>
      <c r="F716" s="320"/>
      <c r="G716" s="320"/>
      <c r="H716" s="322"/>
      <c r="I716" s="322"/>
      <c r="J716" s="322"/>
      <c r="K716" s="322"/>
      <c r="L716" s="322"/>
      <c r="M716" s="322"/>
      <c r="N716" s="322"/>
      <c r="R716" s="277"/>
    </row>
    <row r="717" spans="1:18" s="302" customFormat="1">
      <c r="A717" s="320"/>
      <c r="B717" s="320"/>
      <c r="C717" s="320"/>
      <c r="D717" s="320"/>
      <c r="E717" s="320"/>
      <c r="F717" s="320"/>
      <c r="G717" s="320"/>
      <c r="H717" s="322"/>
      <c r="I717" s="322"/>
      <c r="J717" s="322"/>
      <c r="K717" s="322"/>
      <c r="L717" s="322"/>
      <c r="M717" s="322"/>
      <c r="N717" s="322"/>
      <c r="R717" s="277"/>
    </row>
    <row r="718" spans="1:18" s="302" customFormat="1">
      <c r="A718" s="320"/>
      <c r="B718" s="320"/>
      <c r="C718" s="320"/>
      <c r="D718" s="320"/>
      <c r="E718" s="320"/>
      <c r="F718" s="320"/>
      <c r="G718" s="320"/>
      <c r="H718" s="322"/>
      <c r="I718" s="322"/>
      <c r="J718" s="322"/>
      <c r="K718" s="322"/>
      <c r="L718" s="322"/>
      <c r="M718" s="322"/>
      <c r="N718" s="322"/>
      <c r="R718" s="277"/>
    </row>
    <row r="719" spans="1:18" s="302" customFormat="1">
      <c r="A719" s="320"/>
      <c r="B719" s="320"/>
      <c r="C719" s="320"/>
      <c r="D719" s="320"/>
      <c r="E719" s="320"/>
      <c r="F719" s="320"/>
      <c r="G719" s="320"/>
      <c r="H719" s="322"/>
      <c r="I719" s="322"/>
      <c r="J719" s="322"/>
      <c r="K719" s="322"/>
      <c r="L719" s="322"/>
      <c r="M719" s="322"/>
      <c r="N719" s="322"/>
      <c r="R719" s="277"/>
    </row>
    <row r="720" spans="1:18" s="302" customFormat="1">
      <c r="A720" s="320"/>
      <c r="B720" s="320"/>
      <c r="C720" s="320"/>
      <c r="D720" s="320"/>
      <c r="E720" s="320"/>
      <c r="F720" s="320"/>
      <c r="G720" s="320"/>
      <c r="H720" s="322"/>
      <c r="I720" s="322"/>
      <c r="J720" s="322"/>
      <c r="K720" s="322"/>
      <c r="L720" s="322"/>
      <c r="M720" s="322"/>
      <c r="N720" s="322"/>
      <c r="R720" s="277"/>
    </row>
    <row r="721" spans="1:18" s="302" customFormat="1">
      <c r="A721" s="320"/>
      <c r="B721" s="320"/>
      <c r="C721" s="320"/>
      <c r="D721" s="320"/>
      <c r="E721" s="320"/>
      <c r="F721" s="320"/>
      <c r="G721" s="320"/>
      <c r="H721" s="322"/>
      <c r="I721" s="322"/>
      <c r="J721" s="322"/>
      <c r="K721" s="322"/>
      <c r="L721" s="322"/>
      <c r="M721" s="322"/>
      <c r="N721" s="322"/>
      <c r="R721" s="277"/>
    </row>
    <row r="722" spans="1:18" s="302" customFormat="1">
      <c r="A722" s="320"/>
      <c r="B722" s="320"/>
      <c r="C722" s="320"/>
      <c r="D722" s="320"/>
      <c r="E722" s="320"/>
      <c r="F722" s="320"/>
      <c r="G722" s="320"/>
      <c r="H722" s="322"/>
      <c r="I722" s="322"/>
      <c r="J722" s="322"/>
      <c r="K722" s="322"/>
      <c r="L722" s="322"/>
      <c r="M722" s="322"/>
      <c r="N722" s="322"/>
      <c r="R722" s="277"/>
    </row>
    <row r="723" spans="1:18" s="302" customFormat="1">
      <c r="A723" s="320"/>
      <c r="B723" s="320"/>
      <c r="C723" s="320"/>
      <c r="D723" s="320"/>
      <c r="E723" s="320"/>
      <c r="F723" s="320"/>
      <c r="G723" s="320"/>
      <c r="H723" s="322"/>
      <c r="I723" s="322"/>
      <c r="J723" s="322"/>
      <c r="K723" s="322"/>
      <c r="L723" s="322"/>
      <c r="M723" s="322"/>
      <c r="N723" s="322"/>
      <c r="R723" s="277"/>
    </row>
    <row r="724" spans="1:18" s="302" customFormat="1">
      <c r="A724" s="320"/>
      <c r="B724" s="320"/>
      <c r="C724" s="320"/>
      <c r="D724" s="320"/>
      <c r="E724" s="320"/>
      <c r="F724" s="320"/>
      <c r="G724" s="320"/>
      <c r="H724" s="322"/>
      <c r="I724" s="322"/>
      <c r="J724" s="322"/>
      <c r="K724" s="322"/>
      <c r="L724" s="322"/>
      <c r="M724" s="322"/>
      <c r="N724" s="322"/>
      <c r="R724" s="277"/>
    </row>
    <row r="725" spans="1:18" s="302" customFormat="1">
      <c r="A725" s="320"/>
      <c r="B725" s="320"/>
      <c r="C725" s="320"/>
      <c r="D725" s="320"/>
      <c r="E725" s="320"/>
      <c r="F725" s="320"/>
      <c r="G725" s="320"/>
      <c r="H725" s="322"/>
      <c r="I725" s="322"/>
      <c r="J725" s="322"/>
      <c r="K725" s="322"/>
      <c r="L725" s="322"/>
      <c r="M725" s="322"/>
      <c r="N725" s="322"/>
      <c r="R725" s="277"/>
    </row>
    <row r="726" spans="1:18" s="302" customFormat="1">
      <c r="A726" s="320"/>
      <c r="B726" s="320"/>
      <c r="C726" s="320"/>
      <c r="D726" s="320"/>
      <c r="E726" s="320"/>
      <c r="F726" s="320"/>
      <c r="G726" s="320"/>
      <c r="H726" s="322"/>
      <c r="I726" s="322"/>
      <c r="J726" s="322"/>
      <c r="K726" s="322"/>
      <c r="L726" s="322"/>
      <c r="M726" s="322"/>
      <c r="N726" s="322"/>
      <c r="R726" s="277"/>
    </row>
    <row r="727" spans="1:18" s="302" customFormat="1">
      <c r="A727" s="320"/>
      <c r="B727" s="320"/>
      <c r="C727" s="320"/>
      <c r="D727" s="320"/>
      <c r="E727" s="320"/>
      <c r="F727" s="320"/>
      <c r="G727" s="320"/>
      <c r="H727" s="322"/>
      <c r="I727" s="322"/>
      <c r="J727" s="322"/>
      <c r="K727" s="322"/>
      <c r="L727" s="322"/>
      <c r="M727" s="322"/>
      <c r="N727" s="322"/>
      <c r="R727" s="277"/>
    </row>
    <row r="728" spans="1:18" s="302" customFormat="1">
      <c r="A728" s="320"/>
      <c r="B728" s="320"/>
      <c r="C728" s="320"/>
      <c r="D728" s="320"/>
      <c r="E728" s="320"/>
      <c r="F728" s="320"/>
      <c r="G728" s="320"/>
      <c r="H728" s="322"/>
      <c r="I728" s="322"/>
      <c r="J728" s="322"/>
      <c r="K728" s="322"/>
      <c r="L728" s="322"/>
      <c r="M728" s="322"/>
      <c r="N728" s="322"/>
      <c r="R728" s="277"/>
    </row>
    <row r="729" spans="1:18" s="302" customFormat="1">
      <c r="A729" s="320"/>
      <c r="B729" s="320"/>
      <c r="C729" s="320"/>
      <c r="D729" s="320"/>
      <c r="E729" s="320"/>
      <c r="F729" s="320"/>
      <c r="G729" s="320"/>
      <c r="H729" s="322"/>
      <c r="I729" s="322"/>
      <c r="J729" s="322"/>
      <c r="K729" s="322"/>
      <c r="L729" s="322"/>
      <c r="M729" s="322"/>
      <c r="N729" s="322"/>
      <c r="R729" s="277"/>
    </row>
    <row r="730" spans="1:18" s="302" customFormat="1">
      <c r="A730" s="320"/>
      <c r="B730" s="320"/>
      <c r="C730" s="320"/>
      <c r="D730" s="320"/>
      <c r="E730" s="320"/>
      <c r="F730" s="320"/>
      <c r="G730" s="320"/>
      <c r="H730" s="322"/>
      <c r="I730" s="322"/>
      <c r="J730" s="322"/>
      <c r="K730" s="322"/>
      <c r="L730" s="322"/>
      <c r="M730" s="322"/>
      <c r="N730" s="322"/>
      <c r="R730" s="277"/>
    </row>
    <row r="731" spans="1:18" s="302" customFormat="1">
      <c r="A731" s="320"/>
      <c r="B731" s="320"/>
      <c r="C731" s="320"/>
      <c r="D731" s="320"/>
      <c r="E731" s="320"/>
      <c r="F731" s="320"/>
      <c r="G731" s="320"/>
      <c r="H731" s="322"/>
      <c r="I731" s="322"/>
      <c r="J731" s="322"/>
      <c r="K731" s="322"/>
      <c r="L731" s="322"/>
      <c r="M731" s="322"/>
      <c r="N731" s="322"/>
      <c r="R731" s="277"/>
    </row>
    <row r="732" spans="1:18" s="302" customFormat="1">
      <c r="A732" s="320"/>
      <c r="B732" s="320"/>
      <c r="C732" s="320"/>
      <c r="D732" s="320"/>
      <c r="E732" s="320"/>
      <c r="F732" s="320"/>
      <c r="G732" s="320"/>
      <c r="H732" s="322"/>
      <c r="I732" s="322"/>
      <c r="J732" s="322"/>
      <c r="K732" s="322"/>
      <c r="L732" s="322"/>
      <c r="M732" s="322"/>
      <c r="N732" s="322"/>
      <c r="R732" s="277"/>
    </row>
    <row r="733" spans="1:18" s="302" customFormat="1">
      <c r="A733" s="320"/>
      <c r="B733" s="320"/>
      <c r="C733" s="320"/>
      <c r="D733" s="320"/>
      <c r="E733" s="320"/>
      <c r="F733" s="320"/>
      <c r="G733" s="320"/>
      <c r="H733" s="322"/>
      <c r="I733" s="322"/>
      <c r="J733" s="322"/>
      <c r="K733" s="322"/>
      <c r="L733" s="322"/>
      <c r="M733" s="322"/>
      <c r="N733" s="322"/>
      <c r="R733" s="277"/>
    </row>
    <row r="734" spans="1:18" s="302" customFormat="1">
      <c r="A734" s="319"/>
      <c r="B734" s="364"/>
      <c r="C734" s="320"/>
      <c r="D734" s="320"/>
      <c r="E734" s="320"/>
      <c r="F734" s="320"/>
      <c r="G734" s="320"/>
      <c r="H734" s="322"/>
      <c r="I734" s="322"/>
      <c r="J734" s="322"/>
      <c r="K734" s="322"/>
      <c r="L734" s="322"/>
      <c r="M734" s="322"/>
      <c r="N734" s="322"/>
      <c r="R734" s="277"/>
    </row>
    <row r="735" spans="1:18" s="302" customFormat="1">
      <c r="A735" s="319"/>
      <c r="B735" s="364"/>
      <c r="C735" s="320"/>
      <c r="D735" s="320"/>
      <c r="E735" s="320"/>
      <c r="F735" s="320"/>
      <c r="G735" s="320"/>
      <c r="H735" s="322"/>
      <c r="I735" s="322"/>
      <c r="J735" s="322"/>
      <c r="K735" s="322"/>
      <c r="L735" s="322"/>
      <c r="M735" s="322"/>
      <c r="N735" s="322"/>
      <c r="R735" s="277"/>
    </row>
    <row r="736" spans="1:18" s="302" customFormat="1">
      <c r="A736" s="319"/>
      <c r="B736" s="364"/>
      <c r="C736" s="320"/>
      <c r="D736" s="320"/>
      <c r="E736" s="320"/>
      <c r="F736" s="320"/>
      <c r="G736" s="320"/>
      <c r="H736" s="322"/>
      <c r="I736" s="322"/>
      <c r="J736" s="322"/>
      <c r="K736" s="322"/>
      <c r="L736" s="322"/>
      <c r="M736" s="322"/>
      <c r="N736" s="322"/>
      <c r="R736" s="277"/>
    </row>
    <row r="737" spans="1:21" s="302" customFormat="1">
      <c r="A737" s="319"/>
      <c r="B737" s="364"/>
      <c r="C737" s="320"/>
      <c r="D737" s="320"/>
      <c r="E737" s="320"/>
      <c r="F737" s="320"/>
      <c r="G737" s="320"/>
      <c r="H737" s="322"/>
      <c r="I737" s="322"/>
      <c r="J737" s="322"/>
      <c r="K737" s="322"/>
      <c r="L737" s="322"/>
      <c r="M737" s="322"/>
      <c r="N737" s="322"/>
      <c r="R737" s="277"/>
    </row>
    <row r="738" spans="1:21" s="302" customFormat="1">
      <c r="A738" s="319"/>
      <c r="B738" s="364"/>
      <c r="C738" s="320"/>
      <c r="D738" s="320"/>
      <c r="E738" s="320"/>
      <c r="F738" s="320"/>
      <c r="G738" s="320"/>
      <c r="H738" s="322"/>
      <c r="I738" s="322"/>
      <c r="J738" s="322"/>
      <c r="K738" s="322"/>
      <c r="L738" s="322"/>
      <c r="M738" s="322"/>
      <c r="N738" s="322"/>
      <c r="R738" s="277"/>
    </row>
    <row r="739" spans="1:21" s="302" customFormat="1">
      <c r="A739" s="319"/>
      <c r="B739" s="364"/>
      <c r="C739" s="320"/>
      <c r="D739" s="320"/>
      <c r="E739" s="320"/>
      <c r="F739" s="320"/>
      <c r="G739" s="320"/>
      <c r="H739" s="322"/>
      <c r="I739" s="322"/>
      <c r="J739" s="322"/>
      <c r="K739" s="322"/>
      <c r="L739" s="322"/>
      <c r="M739" s="322"/>
      <c r="N739" s="322"/>
      <c r="R739" s="277"/>
    </row>
    <row r="740" spans="1:21" s="302" customFormat="1">
      <c r="A740" s="319"/>
      <c r="B740" s="364"/>
      <c r="C740" s="320"/>
      <c r="D740" s="320"/>
      <c r="E740" s="320"/>
      <c r="F740" s="320"/>
      <c r="G740" s="320"/>
      <c r="H740" s="322"/>
      <c r="I740" s="322"/>
      <c r="J740" s="322"/>
      <c r="K740" s="322"/>
      <c r="L740" s="322"/>
      <c r="M740" s="322"/>
      <c r="N740" s="322"/>
      <c r="R740" s="277"/>
    </row>
    <row r="741" spans="1:21" s="302" customFormat="1">
      <c r="A741" s="319"/>
      <c r="B741" s="364"/>
      <c r="C741" s="320"/>
      <c r="D741" s="320"/>
      <c r="E741" s="320"/>
      <c r="F741" s="320"/>
      <c r="G741" s="320"/>
      <c r="H741" s="322"/>
      <c r="I741" s="322"/>
      <c r="J741" s="322"/>
      <c r="K741" s="322"/>
      <c r="L741" s="322"/>
      <c r="M741" s="322"/>
      <c r="N741" s="322"/>
      <c r="R741" s="277"/>
    </row>
    <row r="742" spans="1:21" s="302" customFormat="1">
      <c r="A742" s="319"/>
      <c r="B742" s="364"/>
      <c r="C742" s="320"/>
      <c r="D742" s="320"/>
      <c r="E742" s="320"/>
      <c r="F742" s="320"/>
      <c r="G742" s="320"/>
      <c r="H742" s="322"/>
      <c r="I742" s="322"/>
      <c r="J742" s="322"/>
      <c r="K742" s="322"/>
      <c r="L742" s="322"/>
      <c r="M742" s="322"/>
      <c r="N742" s="322"/>
      <c r="R742" s="277"/>
    </row>
    <row r="743" spans="1:21" s="302" customFormat="1">
      <c r="E743" s="322"/>
      <c r="F743" s="322"/>
      <c r="G743" s="322"/>
      <c r="H743" s="322"/>
      <c r="I743" s="322"/>
      <c r="J743" s="322"/>
      <c r="K743" s="322"/>
      <c r="L743" s="322"/>
      <c r="M743" s="322"/>
      <c r="N743" s="322"/>
      <c r="R743" s="277"/>
    </row>
    <row r="744" spans="1:21" s="302" customFormat="1">
      <c r="E744" s="322"/>
      <c r="F744" s="322"/>
      <c r="G744" s="322"/>
      <c r="H744" s="322"/>
      <c r="I744" s="322"/>
      <c r="J744" s="322"/>
      <c r="K744" s="322"/>
      <c r="L744" s="322"/>
      <c r="M744" s="322"/>
      <c r="N744" s="322"/>
      <c r="R744" s="277"/>
    </row>
    <row r="745" spans="1:21" s="302" customFormat="1">
      <c r="E745" s="322"/>
      <c r="F745" s="322"/>
      <c r="G745" s="322"/>
      <c r="H745" s="322"/>
      <c r="I745" s="322"/>
      <c r="J745" s="322"/>
      <c r="K745" s="322"/>
      <c r="L745" s="322"/>
      <c r="M745" s="322"/>
      <c r="N745" s="322"/>
      <c r="R745" s="277"/>
    </row>
    <row r="746" spans="1:21" s="302" customFormat="1">
      <c r="E746" s="322"/>
      <c r="F746" s="322"/>
      <c r="G746" s="322"/>
      <c r="H746" s="322"/>
      <c r="I746" s="322"/>
      <c r="J746" s="322"/>
      <c r="K746" s="322"/>
      <c r="L746" s="322"/>
      <c r="M746" s="322"/>
      <c r="N746" s="322"/>
      <c r="R746" s="277"/>
    </row>
    <row r="747" spans="1:21" s="302" customFormat="1">
      <c r="A747" s="368"/>
      <c r="B747" s="369"/>
      <c r="C747" s="369"/>
      <c r="D747" s="369"/>
      <c r="E747" s="369"/>
      <c r="F747" s="369"/>
      <c r="G747" s="369"/>
      <c r="H747" s="370"/>
      <c r="I747" s="370"/>
      <c r="J747" s="370"/>
      <c r="K747" s="370"/>
      <c r="L747" s="370"/>
      <c r="M747" s="370"/>
      <c r="N747" s="370"/>
      <c r="O747" s="371"/>
      <c r="P747" s="371"/>
      <c r="Q747" s="371"/>
      <c r="R747" s="372"/>
      <c r="S747" s="371"/>
      <c r="T747" s="371"/>
      <c r="U747" s="371"/>
    </row>
    <row r="748" spans="1:21" s="302" customFormat="1">
      <c r="A748" s="368"/>
      <c r="B748" s="369"/>
      <c r="C748" s="369"/>
      <c r="D748" s="369"/>
      <c r="E748" s="369"/>
      <c r="F748" s="369"/>
      <c r="G748" s="369"/>
      <c r="H748" s="370"/>
      <c r="I748" s="370"/>
      <c r="J748" s="370"/>
      <c r="K748" s="370"/>
      <c r="L748" s="370"/>
      <c r="M748" s="370"/>
      <c r="N748" s="370"/>
      <c r="O748" s="371"/>
      <c r="P748" s="371"/>
      <c r="Q748" s="371"/>
      <c r="R748" s="372"/>
      <c r="S748" s="371"/>
      <c r="T748" s="371"/>
      <c r="U748" s="371"/>
    </row>
    <row r="749" spans="1:21" s="302" customFormat="1">
      <c r="A749" s="373" t="s">
        <v>175</v>
      </c>
      <c r="B749" s="374">
        <f>B700+1</f>
        <v>17</v>
      </c>
      <c r="C749" s="371" t="s">
        <v>467</v>
      </c>
      <c r="D749" s="371"/>
      <c r="E749" s="370"/>
      <c r="F749" s="370"/>
      <c r="G749" s="370"/>
      <c r="H749" s="370"/>
      <c r="I749" s="370"/>
      <c r="J749" s="370"/>
      <c r="K749" s="370"/>
      <c r="L749" s="370"/>
      <c r="M749" s="370"/>
      <c r="N749" s="370"/>
      <c r="O749" s="371"/>
      <c r="P749" s="371"/>
      <c r="Q749" s="371"/>
      <c r="R749" s="372"/>
      <c r="S749" s="371"/>
      <c r="T749" s="371"/>
      <c r="U749" s="371"/>
    </row>
    <row r="750" spans="1:21" s="302" customFormat="1">
      <c r="A750" s="445" t="s">
        <v>383</v>
      </c>
      <c r="B750" s="446"/>
      <c r="C750" s="446"/>
      <c r="D750" s="446"/>
      <c r="E750" s="447"/>
      <c r="F750" s="370"/>
      <c r="G750" s="370"/>
      <c r="H750" s="370"/>
      <c r="I750" s="370"/>
      <c r="J750" s="370"/>
      <c r="K750" s="370"/>
      <c r="L750" s="370"/>
      <c r="M750" s="370"/>
      <c r="N750" s="370"/>
      <c r="O750" s="371"/>
      <c r="P750" s="371"/>
      <c r="Q750" s="371"/>
      <c r="R750" s="372"/>
      <c r="S750" s="371"/>
      <c r="T750" s="371"/>
      <c r="U750" s="371"/>
    </row>
    <row r="751" spans="1:21" s="302" customFormat="1" ht="60" customHeight="1">
      <c r="A751" s="375" t="s">
        <v>452</v>
      </c>
      <c r="B751" s="375" t="s">
        <v>142</v>
      </c>
      <c r="C751" s="375" t="s">
        <v>462</v>
      </c>
      <c r="D751" s="375" t="s">
        <v>463</v>
      </c>
      <c r="E751" s="375" t="s">
        <v>271</v>
      </c>
      <c r="F751" s="370"/>
      <c r="G751" s="370"/>
      <c r="H751" s="370"/>
      <c r="I751" s="370"/>
      <c r="J751" s="370"/>
      <c r="K751" s="370"/>
      <c r="L751" s="370"/>
      <c r="M751" s="370"/>
      <c r="N751" s="370"/>
      <c r="O751" s="371"/>
      <c r="P751" s="371"/>
      <c r="Q751" s="371"/>
      <c r="R751" s="372"/>
      <c r="S751" s="371"/>
      <c r="T751" s="371"/>
      <c r="U751" s="371"/>
    </row>
    <row r="752" spans="1:21" s="302" customFormat="1">
      <c r="A752" s="320"/>
      <c r="B752" s="320"/>
      <c r="C752" s="320"/>
      <c r="D752" s="320"/>
      <c r="E752" s="320"/>
      <c r="F752" s="370"/>
      <c r="G752" s="370"/>
      <c r="H752" s="370"/>
      <c r="I752" s="370"/>
      <c r="J752" s="370"/>
      <c r="K752" s="370"/>
      <c r="L752" s="370"/>
      <c r="M752" s="370"/>
      <c r="N752" s="370"/>
      <c r="O752" s="371"/>
      <c r="P752" s="371"/>
      <c r="Q752" s="371"/>
      <c r="R752" s="372"/>
      <c r="S752" s="371"/>
      <c r="T752" s="371"/>
      <c r="U752" s="371"/>
    </row>
    <row r="753" spans="1:21" s="302" customFormat="1">
      <c r="A753" s="320"/>
      <c r="B753" s="320"/>
      <c r="C753" s="320"/>
      <c r="D753" s="320"/>
      <c r="E753" s="320"/>
      <c r="F753" s="370"/>
      <c r="G753" s="370"/>
      <c r="H753" s="370"/>
      <c r="I753" s="370"/>
      <c r="J753" s="370"/>
      <c r="K753" s="370"/>
      <c r="L753" s="370"/>
      <c r="M753" s="370"/>
      <c r="N753" s="370"/>
      <c r="O753" s="371"/>
      <c r="P753" s="371"/>
      <c r="Q753" s="371"/>
      <c r="R753" s="372"/>
      <c r="S753" s="371"/>
      <c r="T753" s="371"/>
      <c r="U753" s="371"/>
    </row>
    <row r="754" spans="1:21" s="302" customFormat="1">
      <c r="A754" s="320"/>
      <c r="B754" s="320"/>
      <c r="C754" s="320"/>
      <c r="D754" s="320"/>
      <c r="E754" s="320"/>
      <c r="F754" s="370"/>
      <c r="G754" s="370"/>
      <c r="H754" s="370"/>
      <c r="I754" s="370"/>
      <c r="J754" s="370"/>
      <c r="K754" s="370"/>
      <c r="L754" s="370"/>
      <c r="M754" s="370"/>
      <c r="N754" s="370"/>
      <c r="O754" s="371"/>
      <c r="P754" s="371"/>
      <c r="Q754" s="371"/>
      <c r="R754" s="372"/>
      <c r="S754" s="371"/>
      <c r="T754" s="371"/>
      <c r="U754" s="371"/>
    </row>
    <row r="755" spans="1:21" s="302" customFormat="1">
      <c r="A755" s="320"/>
      <c r="B755" s="320"/>
      <c r="C755" s="320"/>
      <c r="D755" s="320"/>
      <c r="E755" s="320"/>
      <c r="F755" s="370"/>
      <c r="G755" s="370"/>
      <c r="H755" s="370"/>
      <c r="I755" s="370"/>
      <c r="J755" s="370"/>
      <c r="K755" s="370"/>
      <c r="L755" s="370"/>
      <c r="M755" s="370"/>
      <c r="N755" s="370"/>
      <c r="O755" s="371"/>
      <c r="P755" s="371"/>
      <c r="Q755" s="371"/>
      <c r="R755" s="372"/>
      <c r="S755" s="371"/>
      <c r="T755" s="371"/>
      <c r="U755" s="371"/>
    </row>
    <row r="756" spans="1:21" s="302" customFormat="1">
      <c r="A756" s="320"/>
      <c r="B756" s="320"/>
      <c r="C756" s="320"/>
      <c r="D756" s="320"/>
      <c r="E756" s="320"/>
      <c r="F756" s="370"/>
      <c r="G756" s="370"/>
      <c r="H756" s="370"/>
      <c r="I756" s="370"/>
      <c r="J756" s="370"/>
      <c r="K756" s="370"/>
      <c r="L756" s="370"/>
      <c r="M756" s="370"/>
      <c r="N756" s="370"/>
      <c r="O756" s="371"/>
      <c r="P756" s="371"/>
      <c r="Q756" s="371"/>
      <c r="R756" s="372"/>
      <c r="S756" s="371"/>
      <c r="T756" s="371"/>
      <c r="U756" s="371"/>
    </row>
    <row r="757" spans="1:21" s="302" customFormat="1">
      <c r="A757" s="320"/>
      <c r="B757" s="320"/>
      <c r="C757" s="320"/>
      <c r="D757" s="320"/>
      <c r="E757" s="320"/>
      <c r="F757" s="370"/>
      <c r="G757" s="370"/>
      <c r="H757" s="370"/>
      <c r="I757" s="370"/>
      <c r="J757" s="370"/>
      <c r="K757" s="370"/>
      <c r="L757" s="370"/>
      <c r="M757" s="370"/>
      <c r="N757" s="370"/>
      <c r="O757" s="371"/>
      <c r="P757" s="371"/>
      <c r="Q757" s="371"/>
      <c r="R757" s="372"/>
      <c r="S757" s="371"/>
      <c r="T757" s="371"/>
      <c r="U757" s="371"/>
    </row>
    <row r="758" spans="1:21" s="302" customFormat="1">
      <c r="A758" s="320"/>
      <c r="B758" s="320"/>
      <c r="C758" s="320"/>
      <c r="D758" s="320"/>
      <c r="E758" s="320"/>
      <c r="F758" s="370"/>
      <c r="G758" s="370"/>
      <c r="H758" s="370"/>
      <c r="I758" s="370"/>
      <c r="J758" s="370"/>
      <c r="K758" s="370"/>
      <c r="L758" s="370"/>
      <c r="M758" s="370"/>
      <c r="N758" s="370"/>
      <c r="O758" s="371"/>
      <c r="P758" s="371"/>
      <c r="Q758" s="371"/>
      <c r="R758" s="372"/>
      <c r="S758" s="371"/>
      <c r="T758" s="371"/>
      <c r="U758" s="371"/>
    </row>
    <row r="759" spans="1:21" s="302" customFormat="1">
      <c r="A759" s="320"/>
      <c r="B759" s="320"/>
      <c r="C759" s="320"/>
      <c r="D759" s="320"/>
      <c r="E759" s="320"/>
      <c r="F759" s="370"/>
      <c r="G759" s="370"/>
      <c r="H759" s="370"/>
      <c r="I759" s="370"/>
      <c r="J759" s="370"/>
      <c r="K759" s="370"/>
      <c r="L759" s="370"/>
      <c r="M759" s="370"/>
      <c r="N759" s="370"/>
      <c r="O759" s="371"/>
      <c r="P759" s="371"/>
      <c r="Q759" s="371"/>
      <c r="R759" s="372"/>
      <c r="S759" s="371"/>
      <c r="T759" s="371"/>
      <c r="U759" s="371"/>
    </row>
    <row r="760" spans="1:21" s="302" customFormat="1">
      <c r="A760" s="320"/>
      <c r="B760" s="320"/>
      <c r="C760" s="320"/>
      <c r="D760" s="320"/>
      <c r="E760" s="320"/>
      <c r="F760" s="370"/>
      <c r="G760" s="370"/>
      <c r="H760" s="370"/>
      <c r="I760" s="370"/>
      <c r="J760" s="370"/>
      <c r="K760" s="370"/>
      <c r="L760" s="370"/>
      <c r="M760" s="370"/>
      <c r="N760" s="370"/>
      <c r="O760" s="371"/>
      <c r="P760" s="371"/>
      <c r="Q760" s="371"/>
      <c r="R760" s="372"/>
      <c r="S760" s="371"/>
      <c r="T760" s="371"/>
      <c r="U760" s="371"/>
    </row>
    <row r="761" spans="1:21" s="302" customFormat="1">
      <c r="A761" s="320"/>
      <c r="B761" s="320"/>
      <c r="C761" s="320"/>
      <c r="D761" s="320"/>
      <c r="E761" s="320"/>
      <c r="F761" s="370"/>
      <c r="G761" s="370"/>
      <c r="H761" s="370"/>
      <c r="I761" s="370"/>
      <c r="J761" s="370"/>
      <c r="K761" s="370"/>
      <c r="L761" s="370"/>
      <c r="M761" s="370"/>
      <c r="N761" s="370"/>
      <c r="O761" s="371"/>
      <c r="P761" s="371"/>
      <c r="Q761" s="371"/>
      <c r="R761" s="372"/>
      <c r="S761" s="371"/>
      <c r="T761" s="371"/>
      <c r="U761" s="371"/>
    </row>
    <row r="762" spans="1:21" s="302" customFormat="1">
      <c r="A762" s="320"/>
      <c r="B762" s="320"/>
      <c r="C762" s="320"/>
      <c r="D762" s="320"/>
      <c r="E762" s="320"/>
      <c r="F762" s="370"/>
      <c r="G762" s="370"/>
      <c r="H762" s="370"/>
      <c r="I762" s="370"/>
      <c r="J762" s="370"/>
      <c r="K762" s="370"/>
      <c r="L762" s="370"/>
      <c r="M762" s="370"/>
      <c r="N762" s="370"/>
      <c r="O762" s="371"/>
      <c r="P762" s="371"/>
      <c r="Q762" s="371"/>
      <c r="R762" s="372"/>
      <c r="S762" s="371"/>
      <c r="T762" s="371"/>
      <c r="U762" s="371"/>
    </row>
    <row r="763" spans="1:21" s="302" customFormat="1">
      <c r="A763" s="320"/>
      <c r="B763" s="320"/>
      <c r="C763" s="320"/>
      <c r="D763" s="320"/>
      <c r="E763" s="320"/>
      <c r="F763" s="370"/>
      <c r="G763" s="370"/>
      <c r="H763" s="370"/>
      <c r="I763" s="370"/>
      <c r="J763" s="370"/>
      <c r="K763" s="370"/>
      <c r="L763" s="370"/>
      <c r="M763" s="370"/>
      <c r="N763" s="370"/>
      <c r="O763" s="371"/>
      <c r="P763" s="371"/>
      <c r="Q763" s="371"/>
      <c r="R763" s="372"/>
      <c r="S763" s="371"/>
      <c r="T763" s="371"/>
      <c r="U763" s="371"/>
    </row>
    <row r="764" spans="1:21" s="302" customFormat="1">
      <c r="A764" s="320"/>
      <c r="B764" s="320"/>
      <c r="C764" s="320"/>
      <c r="D764" s="320"/>
      <c r="E764" s="320"/>
      <c r="F764" s="370"/>
      <c r="G764" s="370"/>
      <c r="H764" s="370"/>
      <c r="I764" s="370"/>
      <c r="J764" s="370"/>
      <c r="K764" s="370"/>
      <c r="L764" s="370"/>
      <c r="M764" s="370"/>
      <c r="N764" s="370"/>
      <c r="O764" s="371"/>
      <c r="P764" s="371"/>
      <c r="Q764" s="371"/>
      <c r="R764" s="372"/>
      <c r="S764" s="371"/>
      <c r="T764" s="371"/>
      <c r="U764" s="371"/>
    </row>
    <row r="765" spans="1:21" s="302" customFormat="1">
      <c r="A765" s="320"/>
      <c r="B765" s="320"/>
      <c r="C765" s="320"/>
      <c r="D765" s="320"/>
      <c r="E765" s="320"/>
      <c r="F765" s="370"/>
      <c r="G765" s="370"/>
      <c r="H765" s="370"/>
      <c r="I765" s="370"/>
      <c r="J765" s="370"/>
      <c r="K765" s="370"/>
      <c r="L765" s="370"/>
      <c r="M765" s="370"/>
      <c r="N765" s="370"/>
      <c r="O765" s="371"/>
      <c r="P765" s="371"/>
      <c r="Q765" s="371"/>
      <c r="R765" s="372"/>
      <c r="S765" s="371"/>
      <c r="T765" s="371"/>
      <c r="U765" s="371"/>
    </row>
    <row r="766" spans="1:21" s="302" customFormat="1">
      <c r="A766" s="320"/>
      <c r="B766" s="320"/>
      <c r="C766" s="320"/>
      <c r="D766" s="320"/>
      <c r="E766" s="320"/>
      <c r="F766" s="370"/>
      <c r="G766" s="370"/>
      <c r="H766" s="370"/>
      <c r="I766" s="370"/>
      <c r="J766" s="370"/>
      <c r="K766" s="370"/>
      <c r="L766" s="370"/>
      <c r="M766" s="370"/>
      <c r="N766" s="370"/>
      <c r="O766" s="371"/>
      <c r="P766" s="371"/>
      <c r="Q766" s="371"/>
      <c r="R766" s="372"/>
      <c r="S766" s="371"/>
      <c r="T766" s="371"/>
      <c r="U766" s="371"/>
    </row>
    <row r="767" spans="1:21" s="302" customFormat="1">
      <c r="A767" s="320"/>
      <c r="B767" s="320"/>
      <c r="C767" s="320"/>
      <c r="D767" s="320"/>
      <c r="E767" s="320"/>
      <c r="F767" s="370"/>
      <c r="G767" s="370"/>
      <c r="H767" s="370"/>
      <c r="I767" s="370"/>
      <c r="J767" s="370"/>
      <c r="K767" s="370"/>
      <c r="L767" s="370"/>
      <c r="M767" s="370"/>
      <c r="N767" s="370"/>
      <c r="O767" s="371"/>
      <c r="P767" s="371"/>
      <c r="Q767" s="371"/>
      <c r="R767" s="372"/>
      <c r="S767" s="371"/>
      <c r="T767" s="371"/>
      <c r="U767" s="371"/>
    </row>
    <row r="768" spans="1:21" s="302" customFormat="1">
      <c r="A768" s="320"/>
      <c r="B768" s="320"/>
      <c r="C768" s="320"/>
      <c r="D768" s="320"/>
      <c r="E768" s="320"/>
      <c r="F768" s="370"/>
      <c r="G768" s="370"/>
      <c r="H768" s="370"/>
      <c r="I768" s="370"/>
      <c r="J768" s="370"/>
      <c r="K768" s="370"/>
      <c r="L768" s="370"/>
      <c r="M768" s="370"/>
      <c r="N768" s="370"/>
      <c r="O768" s="371"/>
      <c r="P768" s="371"/>
      <c r="Q768" s="371"/>
      <c r="R768" s="372"/>
      <c r="S768" s="371"/>
      <c r="T768" s="371"/>
      <c r="U768" s="371"/>
    </row>
    <row r="769" spans="1:21" s="302" customFormat="1">
      <c r="A769" s="320"/>
      <c r="B769" s="320"/>
      <c r="C769" s="320"/>
      <c r="D769" s="320"/>
      <c r="E769" s="320"/>
      <c r="F769" s="370"/>
      <c r="G769" s="370"/>
      <c r="H769" s="370"/>
      <c r="I769" s="370"/>
      <c r="J769" s="370"/>
      <c r="K769" s="370"/>
      <c r="L769" s="370"/>
      <c r="M769" s="370"/>
      <c r="N769" s="370"/>
      <c r="O769" s="371"/>
      <c r="P769" s="371"/>
      <c r="Q769" s="371"/>
      <c r="R769" s="372"/>
      <c r="S769" s="371"/>
      <c r="T769" s="371"/>
      <c r="U769" s="371"/>
    </row>
    <row r="770" spans="1:21" s="302" customFormat="1">
      <c r="A770" s="320"/>
      <c r="B770" s="320"/>
      <c r="C770" s="320"/>
      <c r="D770" s="320"/>
      <c r="E770" s="320"/>
      <c r="F770" s="370"/>
      <c r="G770" s="370"/>
      <c r="H770" s="370"/>
      <c r="I770" s="370"/>
      <c r="J770" s="370"/>
      <c r="K770" s="370"/>
      <c r="L770" s="370"/>
      <c r="M770" s="370"/>
      <c r="N770" s="370"/>
      <c r="O770" s="371"/>
      <c r="P770" s="371"/>
      <c r="Q770" s="371"/>
      <c r="R770" s="372"/>
      <c r="S770" s="371"/>
      <c r="T770" s="371"/>
      <c r="U770" s="371"/>
    </row>
    <row r="771" spans="1:21" s="302" customFormat="1">
      <c r="A771" s="320"/>
      <c r="B771" s="320"/>
      <c r="C771" s="320"/>
      <c r="D771" s="320"/>
      <c r="E771" s="320"/>
      <c r="F771" s="370"/>
      <c r="G771" s="370"/>
      <c r="H771" s="370"/>
      <c r="I771" s="370"/>
      <c r="J771" s="370"/>
      <c r="K771" s="370"/>
      <c r="L771" s="370"/>
      <c r="M771" s="370"/>
      <c r="N771" s="370"/>
      <c r="O771" s="371"/>
      <c r="P771" s="371"/>
      <c r="Q771" s="371"/>
      <c r="R771" s="372"/>
      <c r="S771" s="371"/>
      <c r="T771" s="371"/>
      <c r="U771" s="371"/>
    </row>
    <row r="772" spans="1:21" s="302" customFormat="1">
      <c r="A772" s="320"/>
      <c r="B772" s="320"/>
      <c r="C772" s="320"/>
      <c r="D772" s="320"/>
      <c r="E772" s="320"/>
      <c r="F772" s="370"/>
      <c r="G772" s="370"/>
      <c r="H772" s="370"/>
      <c r="I772" s="370"/>
      <c r="J772" s="370"/>
      <c r="K772" s="370"/>
      <c r="L772" s="370"/>
      <c r="M772" s="370"/>
      <c r="N772" s="370"/>
      <c r="O772" s="371"/>
      <c r="P772" s="371"/>
      <c r="Q772" s="371"/>
      <c r="R772" s="372"/>
      <c r="S772" s="371"/>
      <c r="T772" s="371"/>
      <c r="U772" s="371"/>
    </row>
    <row r="773" spans="1:21" s="302" customFormat="1">
      <c r="A773" s="320"/>
      <c r="B773" s="320"/>
      <c r="C773" s="320"/>
      <c r="D773" s="320"/>
      <c r="E773" s="320"/>
      <c r="F773" s="370"/>
      <c r="G773" s="370"/>
      <c r="H773" s="370"/>
      <c r="I773" s="370"/>
      <c r="J773" s="370"/>
      <c r="K773" s="370"/>
      <c r="L773" s="370"/>
      <c r="M773" s="370"/>
      <c r="N773" s="370"/>
      <c r="O773" s="371"/>
      <c r="P773" s="371"/>
      <c r="Q773" s="371"/>
      <c r="R773" s="372"/>
      <c r="S773" s="371"/>
      <c r="T773" s="371"/>
      <c r="U773" s="371"/>
    </row>
    <row r="774" spans="1:21" s="302" customFormat="1">
      <c r="A774" s="320"/>
      <c r="B774" s="320"/>
      <c r="C774" s="320"/>
      <c r="D774" s="320"/>
      <c r="E774" s="320"/>
      <c r="F774" s="370"/>
      <c r="G774" s="370"/>
      <c r="H774" s="370"/>
      <c r="I774" s="370"/>
      <c r="J774" s="370"/>
      <c r="K774" s="370"/>
      <c r="L774" s="370"/>
      <c r="M774" s="370"/>
      <c r="N774" s="370"/>
      <c r="O774" s="371"/>
      <c r="P774" s="371"/>
      <c r="Q774" s="371"/>
      <c r="R774" s="372"/>
      <c r="S774" s="371"/>
      <c r="T774" s="371"/>
      <c r="U774" s="371"/>
    </row>
    <row r="775" spans="1:21" s="302" customFormat="1">
      <c r="A775" s="320"/>
      <c r="B775" s="320"/>
      <c r="C775" s="320"/>
      <c r="D775" s="320"/>
      <c r="E775" s="320"/>
      <c r="F775" s="370"/>
      <c r="G775" s="370"/>
      <c r="H775" s="370"/>
      <c r="I775" s="370"/>
      <c r="J775" s="370"/>
      <c r="K775" s="370"/>
      <c r="L775" s="370"/>
      <c r="M775" s="370"/>
      <c r="N775" s="370"/>
      <c r="O775" s="371"/>
      <c r="P775" s="371"/>
      <c r="Q775" s="371"/>
      <c r="R775" s="372"/>
      <c r="S775" s="371"/>
      <c r="T775" s="371"/>
      <c r="U775" s="371"/>
    </row>
    <row r="776" spans="1:21" s="302" customFormat="1">
      <c r="A776" s="320"/>
      <c r="B776" s="320"/>
      <c r="C776" s="320"/>
      <c r="D776" s="320"/>
      <c r="E776" s="320"/>
      <c r="F776" s="370"/>
      <c r="G776" s="370"/>
      <c r="H776" s="370"/>
      <c r="I776" s="370"/>
      <c r="J776" s="370"/>
      <c r="K776" s="370"/>
      <c r="L776" s="370"/>
      <c r="M776" s="370"/>
      <c r="N776" s="370"/>
      <c r="O776" s="371"/>
      <c r="P776" s="371"/>
      <c r="Q776" s="371"/>
      <c r="R776" s="372"/>
      <c r="S776" s="371"/>
      <c r="T776" s="371"/>
      <c r="U776" s="371"/>
    </row>
    <row r="777" spans="1:21" s="302" customFormat="1">
      <c r="A777" s="320"/>
      <c r="B777" s="320"/>
      <c r="C777" s="320"/>
      <c r="D777" s="320"/>
      <c r="E777" s="320"/>
      <c r="F777" s="370"/>
      <c r="G777" s="370"/>
      <c r="H777" s="370"/>
      <c r="I777" s="370"/>
      <c r="J777" s="370"/>
      <c r="K777" s="370"/>
      <c r="L777" s="370"/>
      <c r="M777" s="370"/>
      <c r="N777" s="370"/>
      <c r="O777" s="371"/>
      <c r="P777" s="371"/>
      <c r="Q777" s="371"/>
      <c r="R777" s="372"/>
      <c r="S777" s="371"/>
      <c r="T777" s="371"/>
      <c r="U777" s="371"/>
    </row>
    <row r="778" spans="1:21" s="302" customFormat="1">
      <c r="A778" s="320"/>
      <c r="B778" s="320"/>
      <c r="C778" s="320"/>
      <c r="D778" s="320"/>
      <c r="E778" s="320"/>
      <c r="F778" s="370"/>
      <c r="G778" s="370"/>
      <c r="H778" s="370"/>
      <c r="I778" s="370"/>
      <c r="J778" s="370"/>
      <c r="K778" s="370"/>
      <c r="L778" s="370"/>
      <c r="M778" s="370"/>
      <c r="N778" s="370"/>
      <c r="O778" s="371"/>
      <c r="P778" s="371"/>
      <c r="Q778" s="371"/>
      <c r="R778" s="372"/>
      <c r="S778" s="371"/>
      <c r="T778" s="371"/>
      <c r="U778" s="371"/>
    </row>
    <row r="779" spans="1:21" s="302" customFormat="1">
      <c r="A779" s="320"/>
      <c r="B779" s="320"/>
      <c r="C779" s="320"/>
      <c r="D779" s="320"/>
      <c r="E779" s="320"/>
      <c r="F779" s="370"/>
      <c r="G779" s="370"/>
      <c r="H779" s="370"/>
      <c r="I779" s="370"/>
      <c r="J779" s="370"/>
      <c r="K779" s="370"/>
      <c r="L779" s="370"/>
      <c r="M779" s="370"/>
      <c r="N779" s="370"/>
      <c r="O779" s="371"/>
      <c r="P779" s="371"/>
      <c r="Q779" s="371"/>
      <c r="R779" s="372"/>
      <c r="S779" s="371"/>
      <c r="T779" s="371"/>
      <c r="U779" s="371"/>
    </row>
    <row r="780" spans="1:21" s="302" customFormat="1">
      <c r="A780" s="320"/>
      <c r="B780" s="320"/>
      <c r="C780" s="320"/>
      <c r="D780" s="320"/>
      <c r="E780" s="320"/>
      <c r="F780" s="370"/>
      <c r="G780" s="370"/>
      <c r="H780" s="370"/>
      <c r="I780" s="370"/>
      <c r="J780" s="370"/>
      <c r="K780" s="370"/>
      <c r="L780" s="370"/>
      <c r="M780" s="370"/>
      <c r="N780" s="370"/>
      <c r="O780" s="371"/>
      <c r="P780" s="371"/>
      <c r="Q780" s="371"/>
      <c r="R780" s="372"/>
      <c r="S780" s="371"/>
      <c r="T780" s="371"/>
      <c r="U780" s="371"/>
    </row>
    <row r="781" spans="1:21" s="302" customFormat="1">
      <c r="A781" s="320"/>
      <c r="B781" s="320"/>
      <c r="C781" s="320"/>
      <c r="D781" s="320"/>
      <c r="E781" s="320"/>
      <c r="F781" s="370"/>
      <c r="G781" s="370"/>
      <c r="H781" s="370"/>
      <c r="I781" s="370"/>
      <c r="J781" s="370"/>
      <c r="K781" s="370"/>
      <c r="L781" s="370"/>
      <c r="M781" s="370"/>
      <c r="N781" s="370"/>
      <c r="O781" s="371"/>
      <c r="P781" s="371"/>
      <c r="Q781" s="371"/>
      <c r="R781" s="372"/>
      <c r="S781" s="371"/>
      <c r="T781" s="371"/>
      <c r="U781" s="371"/>
    </row>
    <row r="782" spans="1:21" s="302" customFormat="1">
      <c r="A782" s="320"/>
      <c r="B782" s="320"/>
      <c r="C782" s="320"/>
      <c r="D782" s="320"/>
      <c r="E782" s="320"/>
      <c r="F782" s="370"/>
      <c r="G782" s="370"/>
      <c r="H782" s="370"/>
      <c r="I782" s="370"/>
      <c r="J782" s="370"/>
      <c r="K782" s="370"/>
      <c r="L782" s="370"/>
      <c r="M782" s="370"/>
      <c r="N782" s="370"/>
      <c r="O782" s="371"/>
      <c r="P782" s="371"/>
      <c r="Q782" s="371"/>
      <c r="R782" s="372"/>
      <c r="S782" s="371"/>
      <c r="T782" s="371"/>
      <c r="U782" s="371"/>
    </row>
    <row r="783" spans="1:21" s="302" customFormat="1">
      <c r="A783" s="376"/>
      <c r="B783" s="376"/>
      <c r="C783" s="377"/>
      <c r="D783" s="377"/>
      <c r="E783" s="377"/>
      <c r="F783" s="370"/>
      <c r="G783" s="370"/>
      <c r="H783" s="370"/>
      <c r="I783" s="370"/>
      <c r="J783" s="370"/>
      <c r="K783" s="370"/>
      <c r="L783" s="370"/>
      <c r="M783" s="370"/>
      <c r="N783" s="370"/>
      <c r="O783" s="371"/>
      <c r="P783" s="371"/>
      <c r="Q783" s="371"/>
      <c r="R783" s="372"/>
      <c r="S783" s="371"/>
      <c r="T783" s="371"/>
      <c r="U783" s="371"/>
    </row>
    <row r="784" spans="1:21" s="302" customFormat="1">
      <c r="A784" s="376"/>
      <c r="B784" s="376"/>
      <c r="C784" s="377"/>
      <c r="D784" s="377"/>
      <c r="E784" s="377"/>
      <c r="F784" s="370"/>
      <c r="G784" s="370"/>
      <c r="H784" s="370"/>
      <c r="I784" s="370"/>
      <c r="J784" s="370"/>
      <c r="K784" s="370"/>
      <c r="L784" s="370"/>
      <c r="M784" s="370"/>
      <c r="N784" s="370"/>
      <c r="O784" s="371"/>
      <c r="P784" s="371"/>
      <c r="Q784" s="371"/>
      <c r="R784" s="372"/>
      <c r="S784" s="371"/>
      <c r="T784" s="371"/>
      <c r="U784" s="371"/>
    </row>
    <row r="785" spans="1:21" s="302" customFormat="1">
      <c r="A785" s="376"/>
      <c r="B785" s="376"/>
      <c r="C785" s="377"/>
      <c r="D785" s="377"/>
      <c r="E785" s="377"/>
      <c r="F785" s="370"/>
      <c r="G785" s="370"/>
      <c r="H785" s="370"/>
      <c r="I785" s="370"/>
      <c r="J785" s="370"/>
      <c r="K785" s="370"/>
      <c r="L785" s="370"/>
      <c r="M785" s="370"/>
      <c r="N785" s="370"/>
      <c r="O785" s="371"/>
      <c r="P785" s="371"/>
      <c r="Q785" s="371"/>
      <c r="R785" s="372"/>
      <c r="S785" s="371"/>
      <c r="T785" s="371"/>
      <c r="U785" s="371"/>
    </row>
    <row r="786" spans="1:21" s="302" customFormat="1">
      <c r="A786" s="376"/>
      <c r="B786" s="376"/>
      <c r="C786" s="377"/>
      <c r="D786" s="377"/>
      <c r="E786" s="377"/>
      <c r="F786" s="370"/>
      <c r="G786" s="370"/>
      <c r="H786" s="370"/>
      <c r="I786" s="370"/>
      <c r="J786" s="370"/>
      <c r="K786" s="370"/>
      <c r="L786" s="370"/>
      <c r="M786" s="370"/>
      <c r="N786" s="370"/>
      <c r="O786" s="371"/>
      <c r="P786" s="371"/>
      <c r="Q786" s="371"/>
      <c r="R786" s="372"/>
      <c r="S786" s="371"/>
      <c r="T786" s="371"/>
      <c r="U786" s="371"/>
    </row>
    <row r="787" spans="1:21" s="302" customFormat="1">
      <c r="A787" s="376"/>
      <c r="B787" s="376"/>
      <c r="C787" s="377"/>
      <c r="D787" s="377"/>
      <c r="E787" s="377"/>
      <c r="F787" s="370"/>
      <c r="G787" s="370"/>
      <c r="H787" s="370"/>
      <c r="I787" s="370"/>
      <c r="J787" s="370"/>
      <c r="K787" s="370"/>
      <c r="L787" s="370"/>
      <c r="M787" s="370"/>
      <c r="N787" s="370"/>
      <c r="O787" s="371"/>
      <c r="P787" s="371"/>
      <c r="Q787" s="371"/>
      <c r="R787" s="372"/>
      <c r="S787" s="371"/>
      <c r="T787" s="371"/>
      <c r="U787" s="371"/>
    </row>
    <row r="788" spans="1:21" s="302" customFormat="1">
      <c r="A788" s="376"/>
      <c r="B788" s="376"/>
      <c r="C788" s="377"/>
      <c r="D788" s="377"/>
      <c r="E788" s="377"/>
      <c r="F788" s="370"/>
      <c r="G788" s="370"/>
      <c r="H788" s="370"/>
      <c r="I788" s="370"/>
      <c r="J788" s="370"/>
      <c r="K788" s="370"/>
      <c r="L788" s="370"/>
      <c r="M788" s="370"/>
      <c r="N788" s="370"/>
      <c r="O788" s="371"/>
      <c r="P788" s="371"/>
      <c r="Q788" s="371"/>
      <c r="R788" s="372"/>
      <c r="S788" s="371"/>
      <c r="T788" s="371"/>
      <c r="U788" s="371"/>
    </row>
    <row r="789" spans="1:21" s="302" customFormat="1">
      <c r="A789" s="376"/>
      <c r="B789" s="376"/>
      <c r="C789" s="377"/>
      <c r="D789" s="377"/>
      <c r="E789" s="377"/>
      <c r="F789" s="370"/>
      <c r="G789" s="370"/>
      <c r="H789" s="370"/>
      <c r="I789" s="370"/>
      <c r="J789" s="370"/>
      <c r="K789" s="370"/>
      <c r="L789" s="370"/>
      <c r="M789" s="370"/>
      <c r="N789" s="370"/>
      <c r="O789" s="371"/>
      <c r="P789" s="371"/>
      <c r="Q789" s="371"/>
      <c r="R789" s="372"/>
      <c r="S789" s="371"/>
      <c r="T789" s="371"/>
      <c r="U789" s="371"/>
    </row>
    <row r="790" spans="1:21" s="302" customFormat="1">
      <c r="A790" s="376"/>
      <c r="B790" s="376"/>
      <c r="C790" s="377"/>
      <c r="D790" s="377"/>
      <c r="E790" s="377"/>
      <c r="F790" s="370"/>
      <c r="G790" s="370"/>
      <c r="H790" s="370"/>
      <c r="I790" s="370"/>
      <c r="J790" s="370"/>
      <c r="K790" s="370"/>
      <c r="L790" s="370"/>
      <c r="M790" s="370"/>
      <c r="N790" s="370"/>
      <c r="O790" s="371"/>
      <c r="P790" s="371"/>
      <c r="Q790" s="371"/>
      <c r="R790" s="372"/>
      <c r="S790" s="371"/>
      <c r="T790" s="371"/>
      <c r="U790" s="371"/>
    </row>
    <row r="791" spans="1:21" s="302" customFormat="1">
      <c r="A791" s="376"/>
      <c r="B791" s="376"/>
      <c r="C791" s="377"/>
      <c r="D791" s="377"/>
      <c r="E791" s="377"/>
      <c r="F791" s="370"/>
      <c r="G791" s="370"/>
      <c r="H791" s="370"/>
      <c r="I791" s="370"/>
      <c r="J791" s="370"/>
      <c r="K791" s="370"/>
      <c r="L791" s="370"/>
      <c r="M791" s="370"/>
      <c r="N791" s="370"/>
      <c r="O791" s="371"/>
      <c r="P791" s="371"/>
      <c r="Q791" s="371"/>
      <c r="R791" s="372"/>
      <c r="S791" s="371"/>
      <c r="T791" s="371"/>
      <c r="U791" s="371"/>
    </row>
    <row r="792" spans="1:21" s="302" customFormat="1">
      <c r="A792" s="371"/>
      <c r="B792" s="371"/>
      <c r="C792" s="371"/>
      <c r="D792" s="371"/>
      <c r="E792" s="370"/>
      <c r="F792" s="370"/>
      <c r="G792" s="370"/>
      <c r="H792" s="370"/>
      <c r="I792" s="370"/>
      <c r="J792" s="370"/>
      <c r="K792" s="370"/>
      <c r="L792" s="370"/>
      <c r="M792" s="370"/>
      <c r="N792" s="370"/>
      <c r="O792" s="371"/>
      <c r="P792" s="371"/>
      <c r="Q792" s="371"/>
      <c r="R792" s="372"/>
      <c r="S792" s="371"/>
      <c r="T792" s="371"/>
      <c r="U792" s="371"/>
    </row>
    <row r="793" spans="1:21" s="302" customFormat="1">
      <c r="A793" s="371"/>
      <c r="B793" s="371"/>
      <c r="C793" s="371"/>
      <c r="D793" s="371"/>
      <c r="E793" s="370"/>
      <c r="F793" s="370"/>
      <c r="G793" s="370"/>
      <c r="H793" s="370"/>
      <c r="I793" s="370"/>
      <c r="J793" s="370"/>
      <c r="K793" s="370"/>
      <c r="L793" s="370"/>
      <c r="M793" s="370"/>
      <c r="N793" s="370"/>
      <c r="O793" s="371"/>
      <c r="P793" s="371"/>
      <c r="Q793" s="371"/>
      <c r="R793" s="372"/>
      <c r="S793" s="371"/>
      <c r="T793" s="371"/>
      <c r="U793" s="371"/>
    </row>
    <row r="794" spans="1:21" s="302" customFormat="1">
      <c r="A794" s="371"/>
      <c r="B794" s="371"/>
      <c r="C794" s="371"/>
      <c r="D794" s="371"/>
      <c r="E794" s="370"/>
      <c r="F794" s="370"/>
      <c r="G794" s="370"/>
      <c r="H794" s="370"/>
      <c r="I794" s="370"/>
      <c r="J794" s="370"/>
      <c r="K794" s="370"/>
      <c r="L794" s="370"/>
      <c r="M794" s="370"/>
      <c r="N794" s="370"/>
      <c r="O794" s="371"/>
      <c r="P794" s="371"/>
      <c r="Q794" s="371"/>
      <c r="R794" s="372"/>
      <c r="S794" s="371"/>
      <c r="T794" s="371"/>
      <c r="U794" s="371"/>
    </row>
    <row r="795" spans="1:21" s="302" customFormat="1">
      <c r="A795" s="371"/>
      <c r="B795" s="371"/>
      <c r="C795" s="371"/>
      <c r="D795" s="371"/>
      <c r="E795" s="370"/>
      <c r="F795" s="370"/>
      <c r="G795" s="370"/>
      <c r="H795" s="370"/>
      <c r="I795" s="370"/>
      <c r="J795" s="370"/>
      <c r="K795" s="370"/>
      <c r="L795" s="370"/>
      <c r="M795" s="370"/>
      <c r="N795" s="370"/>
      <c r="O795" s="371"/>
      <c r="P795" s="371"/>
      <c r="Q795" s="371"/>
      <c r="R795" s="372"/>
      <c r="S795" s="371"/>
      <c r="T795" s="371"/>
      <c r="U795" s="371"/>
    </row>
    <row r="796" spans="1:21" s="302" customFormat="1">
      <c r="A796" s="371"/>
      <c r="B796" s="371"/>
      <c r="C796" s="371"/>
      <c r="D796" s="371"/>
      <c r="E796" s="370"/>
      <c r="F796" s="370"/>
      <c r="G796" s="370"/>
      <c r="H796" s="370"/>
      <c r="I796" s="370"/>
      <c r="J796" s="370"/>
      <c r="K796" s="370"/>
      <c r="L796" s="370"/>
      <c r="M796" s="370"/>
      <c r="N796" s="370"/>
      <c r="O796" s="371"/>
      <c r="P796" s="371"/>
      <c r="Q796" s="371"/>
      <c r="R796" s="372"/>
      <c r="S796" s="371"/>
      <c r="T796" s="371"/>
      <c r="U796" s="371"/>
    </row>
    <row r="797" spans="1:21" s="302" customFormat="1">
      <c r="A797" s="371"/>
      <c r="B797" s="371"/>
      <c r="C797" s="371"/>
      <c r="D797" s="371"/>
      <c r="E797" s="370"/>
      <c r="F797" s="370"/>
      <c r="G797" s="370"/>
      <c r="H797" s="370"/>
      <c r="I797" s="370"/>
      <c r="J797" s="370"/>
      <c r="K797" s="370"/>
      <c r="L797" s="370"/>
      <c r="M797" s="370"/>
      <c r="N797" s="370"/>
      <c r="O797" s="371"/>
      <c r="P797" s="371"/>
      <c r="Q797" s="371"/>
      <c r="R797" s="372"/>
      <c r="S797" s="371"/>
      <c r="T797" s="371"/>
      <c r="U797" s="371"/>
    </row>
    <row r="798" spans="1:21" s="302" customFormat="1">
      <c r="A798" s="371"/>
      <c r="B798" s="371"/>
      <c r="C798" s="371"/>
      <c r="D798" s="371"/>
      <c r="E798" s="370"/>
      <c r="F798" s="370"/>
      <c r="G798" s="370"/>
      <c r="H798" s="370"/>
      <c r="I798" s="370"/>
      <c r="J798" s="370"/>
      <c r="K798" s="370"/>
      <c r="L798" s="370"/>
      <c r="M798" s="370"/>
      <c r="N798" s="370"/>
      <c r="O798" s="371"/>
      <c r="P798" s="371"/>
      <c r="Q798" s="371"/>
      <c r="R798" s="372"/>
      <c r="S798" s="371"/>
      <c r="T798" s="371"/>
      <c r="U798" s="371"/>
    </row>
    <row r="799" spans="1:21" s="302" customFormat="1">
      <c r="A799" s="373" t="s">
        <v>175</v>
      </c>
      <c r="B799" s="374">
        <f>B749+1</f>
        <v>18</v>
      </c>
      <c r="C799" s="371"/>
      <c r="D799" s="371"/>
      <c r="E799" s="370"/>
      <c r="F799" s="370"/>
      <c r="G799" s="370"/>
      <c r="H799" s="370"/>
      <c r="I799" s="370"/>
      <c r="J799" s="370"/>
      <c r="K799" s="370"/>
      <c r="L799" s="370"/>
      <c r="M799" s="370"/>
      <c r="N799" s="370"/>
      <c r="O799" s="371"/>
      <c r="P799" s="371"/>
      <c r="Q799" s="371"/>
      <c r="R799" s="372"/>
      <c r="S799" s="371"/>
      <c r="T799" s="371"/>
      <c r="U799" s="371"/>
    </row>
    <row r="800" spans="1:21" s="302" customFormat="1">
      <c r="A800" s="445" t="s">
        <v>382</v>
      </c>
      <c r="B800" s="446"/>
      <c r="C800" s="446"/>
      <c r="D800" s="446"/>
      <c r="E800" s="447"/>
      <c r="F800" s="370"/>
      <c r="G800" s="370"/>
      <c r="H800" s="370"/>
      <c r="I800" s="370"/>
      <c r="J800" s="370"/>
      <c r="K800" s="370"/>
      <c r="L800" s="370"/>
      <c r="M800" s="370"/>
      <c r="N800" s="370"/>
      <c r="O800" s="371"/>
      <c r="P800" s="371"/>
      <c r="Q800" s="371"/>
      <c r="R800" s="372"/>
      <c r="S800" s="371"/>
      <c r="T800" s="371"/>
      <c r="U800" s="371"/>
    </row>
    <row r="801" spans="1:21" s="302" customFormat="1" ht="45">
      <c r="A801" s="378" t="s">
        <v>452</v>
      </c>
      <c r="B801" s="378" t="s">
        <v>142</v>
      </c>
      <c r="C801" s="375" t="s">
        <v>20</v>
      </c>
      <c r="D801" s="375" t="s">
        <v>21</v>
      </c>
      <c r="E801" s="375" t="s">
        <v>271</v>
      </c>
      <c r="F801" s="370"/>
      <c r="G801" s="370"/>
      <c r="H801" s="370"/>
      <c r="I801" s="370"/>
      <c r="J801" s="370"/>
      <c r="K801" s="370"/>
      <c r="L801" s="370"/>
      <c r="M801" s="370"/>
      <c r="N801" s="370"/>
      <c r="O801" s="371"/>
      <c r="P801" s="371"/>
      <c r="Q801" s="371"/>
      <c r="R801" s="372"/>
      <c r="S801" s="371"/>
      <c r="T801" s="371"/>
      <c r="U801" s="371"/>
    </row>
    <row r="802" spans="1:21" s="302" customFormat="1">
      <c r="A802" s="320"/>
      <c r="B802" s="320"/>
      <c r="C802" s="320"/>
      <c r="D802" s="320"/>
      <c r="E802" s="320"/>
      <c r="F802" s="370"/>
      <c r="G802" s="370"/>
      <c r="H802" s="370"/>
      <c r="I802" s="370"/>
      <c r="J802" s="370"/>
      <c r="K802" s="370"/>
      <c r="L802" s="370"/>
      <c r="M802" s="370"/>
      <c r="N802" s="370"/>
      <c r="O802" s="371"/>
      <c r="P802" s="371"/>
      <c r="Q802" s="371"/>
      <c r="R802" s="372"/>
      <c r="S802" s="371"/>
      <c r="T802" s="371"/>
      <c r="U802" s="371"/>
    </row>
    <row r="803" spans="1:21" s="302" customFormat="1">
      <c r="A803" s="320"/>
      <c r="B803" s="320"/>
      <c r="C803" s="320"/>
      <c r="D803" s="320"/>
      <c r="E803" s="320"/>
      <c r="F803" s="370"/>
      <c r="G803" s="370"/>
      <c r="H803" s="370"/>
      <c r="I803" s="370"/>
      <c r="J803" s="370"/>
      <c r="K803" s="370"/>
      <c r="L803" s="370"/>
      <c r="M803" s="370"/>
      <c r="N803" s="370"/>
      <c r="O803" s="371"/>
      <c r="P803" s="371"/>
      <c r="Q803" s="371"/>
      <c r="R803" s="372"/>
      <c r="S803" s="371"/>
      <c r="T803" s="371"/>
      <c r="U803" s="371"/>
    </row>
    <row r="804" spans="1:21" s="302" customFormat="1">
      <c r="A804" s="320"/>
      <c r="B804" s="320"/>
      <c r="C804" s="320"/>
      <c r="D804" s="320"/>
      <c r="E804" s="320"/>
      <c r="F804" s="370"/>
      <c r="G804" s="370"/>
      <c r="H804" s="370"/>
      <c r="I804" s="370"/>
      <c r="J804" s="370"/>
      <c r="K804" s="370"/>
      <c r="L804" s="370"/>
      <c r="M804" s="370"/>
      <c r="N804" s="370"/>
      <c r="O804" s="371"/>
      <c r="P804" s="371"/>
      <c r="Q804" s="371"/>
      <c r="R804" s="372"/>
      <c r="S804" s="371"/>
      <c r="T804" s="371"/>
      <c r="U804" s="371"/>
    </row>
    <row r="805" spans="1:21" s="302" customFormat="1">
      <c r="A805" s="320"/>
      <c r="B805" s="320"/>
      <c r="C805" s="320"/>
      <c r="D805" s="320"/>
      <c r="E805" s="320"/>
      <c r="F805" s="370"/>
      <c r="G805" s="370"/>
      <c r="H805" s="370"/>
      <c r="I805" s="370"/>
      <c r="J805" s="370"/>
      <c r="K805" s="370"/>
      <c r="L805" s="370"/>
      <c r="M805" s="370"/>
      <c r="N805" s="370"/>
      <c r="O805" s="371"/>
      <c r="P805" s="371"/>
      <c r="Q805" s="371"/>
      <c r="R805" s="372"/>
      <c r="S805" s="371"/>
      <c r="T805" s="371"/>
      <c r="U805" s="371"/>
    </row>
    <row r="806" spans="1:21" s="302" customFormat="1">
      <c r="A806" s="320"/>
      <c r="B806" s="320"/>
      <c r="C806" s="320"/>
      <c r="D806" s="320"/>
      <c r="E806" s="320"/>
      <c r="F806" s="370"/>
      <c r="G806" s="370"/>
      <c r="H806" s="370"/>
      <c r="I806" s="370"/>
      <c r="J806" s="370"/>
      <c r="K806" s="370"/>
      <c r="L806" s="370"/>
      <c r="M806" s="370"/>
      <c r="N806" s="370"/>
      <c r="O806" s="371"/>
      <c r="P806" s="371"/>
      <c r="Q806" s="371"/>
      <c r="R806" s="372"/>
      <c r="S806" s="371"/>
      <c r="T806" s="371"/>
      <c r="U806" s="371"/>
    </row>
    <row r="807" spans="1:21" s="302" customFormat="1">
      <c r="A807" s="320"/>
      <c r="B807" s="320"/>
      <c r="C807" s="320"/>
      <c r="D807" s="320"/>
      <c r="E807" s="320"/>
      <c r="F807" s="370"/>
      <c r="G807" s="370"/>
      <c r="H807" s="370"/>
      <c r="I807" s="370"/>
      <c r="J807" s="370"/>
      <c r="K807" s="370"/>
      <c r="L807" s="370"/>
      <c r="M807" s="370"/>
      <c r="N807" s="370"/>
      <c r="O807" s="371"/>
      <c r="P807" s="371"/>
      <c r="Q807" s="371"/>
      <c r="R807" s="372"/>
      <c r="S807" s="371"/>
      <c r="T807" s="371"/>
      <c r="U807" s="371"/>
    </row>
    <row r="808" spans="1:21" s="302" customFormat="1">
      <c r="A808" s="320"/>
      <c r="B808" s="320"/>
      <c r="C808" s="320"/>
      <c r="D808" s="320"/>
      <c r="E808" s="320"/>
      <c r="F808" s="370"/>
      <c r="G808" s="370"/>
      <c r="H808" s="370"/>
      <c r="I808" s="370"/>
      <c r="J808" s="370"/>
      <c r="K808" s="370"/>
      <c r="L808" s="370"/>
      <c r="M808" s="370"/>
      <c r="N808" s="370"/>
      <c r="O808" s="371"/>
      <c r="P808" s="371"/>
      <c r="Q808" s="371"/>
      <c r="R808" s="372"/>
      <c r="S808" s="371"/>
      <c r="T808" s="371"/>
      <c r="U808" s="371"/>
    </row>
    <row r="809" spans="1:21" s="302" customFormat="1">
      <c r="A809" s="320"/>
      <c r="B809" s="320"/>
      <c r="C809" s="320"/>
      <c r="D809" s="320"/>
      <c r="E809" s="320"/>
      <c r="F809" s="370"/>
      <c r="G809" s="370"/>
      <c r="H809" s="370"/>
      <c r="I809" s="370"/>
      <c r="J809" s="370"/>
      <c r="K809" s="370"/>
      <c r="L809" s="370"/>
      <c r="M809" s="370"/>
      <c r="N809" s="370"/>
      <c r="O809" s="371"/>
      <c r="P809" s="371"/>
      <c r="Q809" s="371"/>
      <c r="R809" s="372"/>
      <c r="S809" s="371"/>
      <c r="T809" s="371"/>
      <c r="U809" s="371"/>
    </row>
    <row r="810" spans="1:21" s="302" customFormat="1">
      <c r="A810" s="320"/>
      <c r="B810" s="320"/>
      <c r="C810" s="320"/>
      <c r="D810" s="320"/>
      <c r="E810" s="320"/>
      <c r="F810" s="370"/>
      <c r="G810" s="370"/>
      <c r="H810" s="370"/>
      <c r="I810" s="370"/>
      <c r="J810" s="370"/>
      <c r="K810" s="370"/>
      <c r="L810" s="370"/>
      <c r="M810" s="370"/>
      <c r="N810" s="370"/>
      <c r="O810" s="371"/>
      <c r="P810" s="371"/>
      <c r="Q810" s="371"/>
      <c r="R810" s="372"/>
      <c r="S810" s="371"/>
      <c r="T810" s="371"/>
      <c r="U810" s="371"/>
    </row>
    <row r="811" spans="1:21" s="302" customFormat="1">
      <c r="A811" s="320"/>
      <c r="B811" s="320"/>
      <c r="C811" s="320"/>
      <c r="D811" s="320"/>
      <c r="E811" s="320"/>
      <c r="F811" s="370"/>
      <c r="G811" s="370"/>
      <c r="H811" s="370"/>
      <c r="I811" s="370"/>
      <c r="J811" s="370"/>
      <c r="K811" s="370"/>
      <c r="L811" s="370"/>
      <c r="M811" s="370"/>
      <c r="N811" s="370"/>
      <c r="O811" s="371"/>
      <c r="P811" s="371"/>
      <c r="Q811" s="371"/>
      <c r="R811" s="372"/>
      <c r="S811" s="371"/>
      <c r="T811" s="371"/>
      <c r="U811" s="371"/>
    </row>
    <row r="812" spans="1:21" s="302" customFormat="1">
      <c r="A812" s="320"/>
      <c r="B812" s="320"/>
      <c r="C812" s="320"/>
      <c r="D812" s="320"/>
      <c r="E812" s="320"/>
      <c r="F812" s="370"/>
      <c r="G812" s="370"/>
      <c r="H812" s="370"/>
      <c r="I812" s="370"/>
      <c r="J812" s="370"/>
      <c r="K812" s="370"/>
      <c r="L812" s="370"/>
      <c r="M812" s="370"/>
      <c r="N812" s="370"/>
      <c r="O812" s="371"/>
      <c r="P812" s="371"/>
      <c r="Q812" s="371"/>
      <c r="R812" s="372"/>
      <c r="S812" s="371"/>
      <c r="T812" s="371"/>
      <c r="U812" s="371"/>
    </row>
    <row r="813" spans="1:21" s="302" customFormat="1">
      <c r="A813" s="320"/>
      <c r="B813" s="320"/>
      <c r="C813" s="320"/>
      <c r="D813" s="320"/>
      <c r="E813" s="320"/>
      <c r="F813" s="370"/>
      <c r="G813" s="370"/>
      <c r="H813" s="370"/>
      <c r="I813" s="370"/>
      <c r="J813" s="370"/>
      <c r="K813" s="370"/>
      <c r="L813" s="370"/>
      <c r="M813" s="370"/>
      <c r="N813" s="370"/>
      <c r="O813" s="371"/>
      <c r="P813" s="371"/>
      <c r="Q813" s="371"/>
      <c r="R813" s="372"/>
      <c r="S813" s="371"/>
      <c r="T813" s="371"/>
      <c r="U813" s="371"/>
    </row>
    <row r="814" spans="1:21" s="302" customFormat="1">
      <c r="A814" s="320"/>
      <c r="B814" s="320"/>
      <c r="C814" s="320"/>
      <c r="D814" s="320"/>
      <c r="E814" s="320"/>
      <c r="F814" s="370"/>
      <c r="G814" s="370"/>
      <c r="H814" s="370"/>
      <c r="I814" s="370"/>
      <c r="J814" s="370"/>
      <c r="K814" s="370"/>
      <c r="L814" s="370"/>
      <c r="M814" s="370"/>
      <c r="N814" s="370"/>
      <c r="O814" s="371"/>
      <c r="P814" s="371"/>
      <c r="Q814" s="371"/>
      <c r="R814" s="372"/>
      <c r="S814" s="371"/>
      <c r="T814" s="371"/>
      <c r="U814" s="371"/>
    </row>
    <row r="815" spans="1:21" s="302" customFormat="1">
      <c r="A815" s="320"/>
      <c r="B815" s="320"/>
      <c r="C815" s="320"/>
      <c r="D815" s="320"/>
      <c r="E815" s="320"/>
      <c r="F815" s="370"/>
      <c r="G815" s="370"/>
      <c r="H815" s="370"/>
      <c r="I815" s="370"/>
      <c r="J815" s="370"/>
      <c r="K815" s="370"/>
      <c r="L815" s="370"/>
      <c r="M815" s="370"/>
      <c r="N815" s="370"/>
      <c r="O815" s="371"/>
      <c r="P815" s="371"/>
      <c r="Q815" s="371"/>
      <c r="R815" s="372"/>
      <c r="S815" s="371"/>
      <c r="T815" s="371"/>
      <c r="U815" s="371"/>
    </row>
    <row r="816" spans="1:21" s="302" customFormat="1">
      <c r="A816" s="320"/>
      <c r="B816" s="320"/>
      <c r="C816" s="320"/>
      <c r="D816" s="320"/>
      <c r="E816" s="320"/>
      <c r="F816" s="370"/>
      <c r="G816" s="370"/>
      <c r="H816" s="370"/>
      <c r="I816" s="370"/>
      <c r="J816" s="370"/>
      <c r="K816" s="370"/>
      <c r="L816" s="370"/>
      <c r="M816" s="370"/>
      <c r="N816" s="370"/>
      <c r="O816" s="371"/>
      <c r="P816" s="371"/>
      <c r="Q816" s="371"/>
      <c r="R816" s="372"/>
      <c r="S816" s="371"/>
      <c r="T816" s="371"/>
      <c r="U816" s="371"/>
    </row>
    <row r="817" spans="1:21" s="302" customFormat="1">
      <c r="A817" s="320"/>
      <c r="B817" s="320"/>
      <c r="C817" s="320"/>
      <c r="D817" s="320"/>
      <c r="E817" s="320"/>
      <c r="F817" s="370"/>
      <c r="G817" s="370"/>
      <c r="H817" s="370"/>
      <c r="I817" s="370"/>
      <c r="J817" s="370"/>
      <c r="K817" s="370"/>
      <c r="L817" s="370"/>
      <c r="M817" s="370"/>
      <c r="N817" s="370"/>
      <c r="O817" s="371"/>
      <c r="P817" s="371"/>
      <c r="Q817" s="371"/>
      <c r="R817" s="372"/>
      <c r="S817" s="371"/>
      <c r="T817" s="371"/>
      <c r="U817" s="371"/>
    </row>
    <row r="818" spans="1:21" s="302" customFormat="1">
      <c r="A818" s="320"/>
      <c r="B818" s="320"/>
      <c r="C818" s="320"/>
      <c r="D818" s="320"/>
      <c r="E818" s="320"/>
      <c r="F818" s="370"/>
      <c r="G818" s="370"/>
      <c r="H818" s="370"/>
      <c r="I818" s="370"/>
      <c r="J818" s="370"/>
      <c r="K818" s="370"/>
      <c r="L818" s="370"/>
      <c r="M818" s="370"/>
      <c r="N818" s="370"/>
      <c r="O818" s="371"/>
      <c r="P818" s="371"/>
      <c r="Q818" s="371"/>
      <c r="R818" s="372"/>
      <c r="S818" s="371"/>
      <c r="T818" s="371"/>
      <c r="U818" s="371"/>
    </row>
    <row r="819" spans="1:21" s="302" customFormat="1">
      <c r="A819" s="320"/>
      <c r="B819" s="320"/>
      <c r="C819" s="320"/>
      <c r="D819" s="320"/>
      <c r="E819" s="320"/>
      <c r="F819" s="370"/>
      <c r="G819" s="370"/>
      <c r="H819" s="370"/>
      <c r="I819" s="370"/>
      <c r="J819" s="370"/>
      <c r="K819" s="370"/>
      <c r="L819" s="370"/>
      <c r="M819" s="370"/>
      <c r="N819" s="370"/>
      <c r="O819" s="371"/>
      <c r="P819" s="371"/>
      <c r="Q819" s="371"/>
      <c r="R819" s="372"/>
      <c r="S819" s="371"/>
      <c r="T819" s="371"/>
      <c r="U819" s="371"/>
    </row>
    <row r="820" spans="1:21" s="302" customFormat="1">
      <c r="A820" s="320"/>
      <c r="B820" s="320"/>
      <c r="C820" s="320"/>
      <c r="D820" s="320"/>
      <c r="E820" s="320"/>
      <c r="F820" s="370"/>
      <c r="G820" s="370"/>
      <c r="H820" s="370"/>
      <c r="I820" s="370"/>
      <c r="J820" s="370"/>
      <c r="K820" s="370"/>
      <c r="L820" s="370"/>
      <c r="M820" s="370"/>
      <c r="N820" s="370"/>
      <c r="O820" s="371"/>
      <c r="P820" s="371"/>
      <c r="Q820" s="371"/>
      <c r="R820" s="372"/>
      <c r="S820" s="371"/>
      <c r="T820" s="371"/>
      <c r="U820" s="371"/>
    </row>
    <row r="821" spans="1:21" s="302" customFormat="1">
      <c r="A821" s="320"/>
      <c r="B821" s="320"/>
      <c r="C821" s="320"/>
      <c r="D821" s="320"/>
      <c r="E821" s="320"/>
      <c r="F821" s="370"/>
      <c r="G821" s="370"/>
      <c r="H821" s="370"/>
      <c r="I821" s="370"/>
      <c r="J821" s="370"/>
      <c r="K821" s="370"/>
      <c r="L821" s="370"/>
      <c r="M821" s="370"/>
      <c r="N821" s="370"/>
      <c r="O821" s="371"/>
      <c r="P821" s="371"/>
      <c r="Q821" s="371"/>
      <c r="R821" s="372"/>
      <c r="S821" s="371"/>
      <c r="T821" s="371"/>
      <c r="U821" s="371"/>
    </row>
    <row r="822" spans="1:21" s="302" customFormat="1">
      <c r="A822" s="320"/>
      <c r="B822" s="320"/>
      <c r="C822" s="320"/>
      <c r="D822" s="320"/>
      <c r="E822" s="320"/>
      <c r="F822" s="370"/>
      <c r="G822" s="370"/>
      <c r="H822" s="370"/>
      <c r="I822" s="370"/>
      <c r="J822" s="370"/>
      <c r="K822" s="370"/>
      <c r="L822" s="370"/>
      <c r="M822" s="370"/>
      <c r="N822" s="370"/>
      <c r="O822" s="371"/>
      <c r="P822" s="371"/>
      <c r="Q822" s="371"/>
      <c r="R822" s="372"/>
      <c r="S822" s="371"/>
      <c r="T822" s="371"/>
      <c r="U822" s="371"/>
    </row>
    <row r="823" spans="1:21" s="302" customFormat="1">
      <c r="A823" s="320"/>
      <c r="B823" s="320"/>
      <c r="C823" s="320"/>
      <c r="D823" s="320"/>
      <c r="E823" s="320"/>
      <c r="F823" s="370"/>
      <c r="G823" s="370"/>
      <c r="H823" s="370"/>
      <c r="I823" s="370"/>
      <c r="J823" s="370"/>
      <c r="K823" s="370"/>
      <c r="L823" s="370"/>
      <c r="M823" s="370"/>
      <c r="N823" s="370"/>
      <c r="O823" s="371"/>
      <c r="P823" s="371"/>
      <c r="Q823" s="371"/>
      <c r="R823" s="372"/>
      <c r="S823" s="371"/>
      <c r="T823" s="371"/>
      <c r="U823" s="371"/>
    </row>
    <row r="824" spans="1:21" s="302" customFormat="1">
      <c r="A824" s="320"/>
      <c r="B824" s="320"/>
      <c r="C824" s="320"/>
      <c r="D824" s="320"/>
      <c r="E824" s="320"/>
      <c r="F824" s="370"/>
      <c r="G824" s="370"/>
      <c r="H824" s="370"/>
      <c r="I824" s="370"/>
      <c r="J824" s="370"/>
      <c r="K824" s="370"/>
      <c r="L824" s="370"/>
      <c r="M824" s="370"/>
      <c r="N824" s="370"/>
      <c r="O824" s="371"/>
      <c r="P824" s="371"/>
      <c r="Q824" s="371"/>
      <c r="R824" s="372"/>
      <c r="S824" s="371"/>
      <c r="T824" s="371"/>
      <c r="U824" s="371"/>
    </row>
    <row r="825" spans="1:21" s="302" customFormat="1">
      <c r="A825" s="320"/>
      <c r="B825" s="320"/>
      <c r="C825" s="320"/>
      <c r="D825" s="320"/>
      <c r="E825" s="320"/>
      <c r="F825" s="370"/>
      <c r="G825" s="370"/>
      <c r="H825" s="370"/>
      <c r="I825" s="370"/>
      <c r="J825" s="370"/>
      <c r="K825" s="370"/>
      <c r="L825" s="370"/>
      <c r="M825" s="370"/>
      <c r="N825" s="370"/>
      <c r="O825" s="371"/>
      <c r="P825" s="371"/>
      <c r="Q825" s="371"/>
      <c r="R825" s="372"/>
      <c r="S825" s="371"/>
      <c r="T825" s="371"/>
      <c r="U825" s="371"/>
    </row>
    <row r="826" spans="1:21" s="302" customFormat="1">
      <c r="A826" s="320"/>
      <c r="B826" s="320"/>
      <c r="C826" s="320"/>
      <c r="D826" s="320"/>
      <c r="E826" s="320"/>
      <c r="F826" s="370"/>
      <c r="G826" s="370"/>
      <c r="H826" s="370"/>
      <c r="I826" s="370"/>
      <c r="J826" s="370"/>
      <c r="K826" s="370"/>
      <c r="L826" s="370"/>
      <c r="M826" s="370"/>
      <c r="N826" s="370"/>
      <c r="O826" s="371"/>
      <c r="P826" s="371"/>
      <c r="Q826" s="371"/>
      <c r="R826" s="372"/>
      <c r="S826" s="371"/>
      <c r="T826" s="371"/>
      <c r="U826" s="371"/>
    </row>
    <row r="827" spans="1:21" s="302" customFormat="1">
      <c r="A827" s="320"/>
      <c r="B827" s="320"/>
      <c r="C827" s="320"/>
      <c r="D827" s="320"/>
      <c r="E827" s="320"/>
      <c r="F827" s="370"/>
      <c r="G827" s="370"/>
      <c r="H827" s="370"/>
      <c r="I827" s="370"/>
      <c r="J827" s="370"/>
      <c r="K827" s="370"/>
      <c r="L827" s="370"/>
      <c r="M827" s="370"/>
      <c r="N827" s="370"/>
      <c r="O827" s="371"/>
      <c r="P827" s="371"/>
      <c r="Q827" s="371"/>
      <c r="R827" s="372"/>
      <c r="S827" s="371"/>
      <c r="T827" s="371"/>
      <c r="U827" s="371"/>
    </row>
    <row r="828" spans="1:21" s="302" customFormat="1">
      <c r="A828" s="320"/>
      <c r="B828" s="320"/>
      <c r="C828" s="320"/>
      <c r="D828" s="320"/>
      <c r="E828" s="320"/>
      <c r="F828" s="370"/>
      <c r="G828" s="370"/>
      <c r="H828" s="370"/>
      <c r="I828" s="370"/>
      <c r="J828" s="370"/>
      <c r="K828" s="370"/>
      <c r="L828" s="370"/>
      <c r="M828" s="370"/>
      <c r="N828" s="370"/>
      <c r="O828" s="371"/>
      <c r="P828" s="371"/>
      <c r="Q828" s="371"/>
      <c r="R828" s="372"/>
      <c r="S828" s="371"/>
      <c r="T828" s="371"/>
      <c r="U828" s="371"/>
    </row>
    <row r="829" spans="1:21" s="302" customFormat="1">
      <c r="A829" s="320"/>
      <c r="B829" s="320"/>
      <c r="C829" s="320"/>
      <c r="D829" s="320"/>
      <c r="E829" s="320"/>
      <c r="F829" s="370"/>
      <c r="G829" s="370"/>
      <c r="H829" s="370"/>
      <c r="I829" s="370"/>
      <c r="J829" s="370"/>
      <c r="K829" s="370"/>
      <c r="L829" s="370"/>
      <c r="M829" s="370"/>
      <c r="N829" s="370"/>
      <c r="O829" s="371"/>
      <c r="P829" s="371"/>
      <c r="Q829" s="371"/>
      <c r="R829" s="372"/>
      <c r="S829" s="371"/>
      <c r="T829" s="371"/>
      <c r="U829" s="371"/>
    </row>
    <row r="830" spans="1:21" s="302" customFormat="1">
      <c r="A830" s="320"/>
      <c r="B830" s="320"/>
      <c r="C830" s="320"/>
      <c r="D830" s="320"/>
      <c r="E830" s="320"/>
      <c r="F830" s="370"/>
      <c r="G830" s="370"/>
      <c r="H830" s="370"/>
      <c r="I830" s="370"/>
      <c r="J830" s="370"/>
      <c r="K830" s="370"/>
      <c r="L830" s="370"/>
      <c r="M830" s="370"/>
      <c r="N830" s="370"/>
      <c r="O830" s="371"/>
      <c r="P830" s="371"/>
      <c r="Q830" s="371"/>
      <c r="R830" s="372"/>
      <c r="S830" s="371"/>
      <c r="T830" s="371"/>
      <c r="U830" s="371"/>
    </row>
    <row r="831" spans="1:21" s="302" customFormat="1">
      <c r="A831" s="320"/>
      <c r="B831" s="320"/>
      <c r="C831" s="320"/>
      <c r="D831" s="320"/>
      <c r="E831" s="320"/>
      <c r="F831" s="370"/>
      <c r="G831" s="370"/>
      <c r="H831" s="370"/>
      <c r="I831" s="370"/>
      <c r="J831" s="370"/>
      <c r="K831" s="370"/>
      <c r="L831" s="370"/>
      <c r="M831" s="370"/>
      <c r="N831" s="370"/>
      <c r="O831" s="371"/>
      <c r="P831" s="371"/>
      <c r="Q831" s="371"/>
      <c r="R831" s="372"/>
      <c r="S831" s="371"/>
      <c r="T831" s="371"/>
      <c r="U831" s="371"/>
    </row>
    <row r="832" spans="1:21" s="302" customFormat="1">
      <c r="A832" s="320"/>
      <c r="B832" s="320"/>
      <c r="C832" s="320"/>
      <c r="D832" s="320"/>
      <c r="E832" s="320"/>
      <c r="F832" s="370"/>
      <c r="G832" s="370"/>
      <c r="H832" s="370"/>
      <c r="I832" s="370"/>
      <c r="J832" s="370"/>
      <c r="K832" s="370"/>
      <c r="L832" s="370"/>
      <c r="M832" s="370"/>
      <c r="N832" s="370"/>
      <c r="O832" s="371"/>
      <c r="P832" s="371"/>
      <c r="Q832" s="371"/>
      <c r="R832" s="372"/>
      <c r="S832" s="371"/>
      <c r="T832" s="371"/>
      <c r="U832" s="371"/>
    </row>
    <row r="833" spans="1:21" s="302" customFormat="1">
      <c r="A833" s="376"/>
      <c r="B833" s="376"/>
      <c r="C833" s="377"/>
      <c r="D833" s="377"/>
      <c r="E833" s="377"/>
      <c r="F833" s="370"/>
      <c r="G833" s="370"/>
      <c r="H833" s="370"/>
      <c r="I833" s="370"/>
      <c r="J833" s="370"/>
      <c r="K833" s="370"/>
      <c r="L833" s="370"/>
      <c r="M833" s="370"/>
      <c r="N833" s="370"/>
      <c r="O833" s="371"/>
      <c r="P833" s="371"/>
      <c r="Q833" s="371"/>
      <c r="R833" s="372"/>
      <c r="S833" s="371"/>
      <c r="T833" s="371"/>
      <c r="U833" s="371"/>
    </row>
    <row r="834" spans="1:21" s="302" customFormat="1">
      <c r="A834" s="376"/>
      <c r="B834" s="376"/>
      <c r="C834" s="377"/>
      <c r="D834" s="377"/>
      <c r="E834" s="377"/>
      <c r="F834" s="370"/>
      <c r="G834" s="370"/>
      <c r="H834" s="370"/>
      <c r="I834" s="370"/>
      <c r="J834" s="370"/>
      <c r="K834" s="370"/>
      <c r="L834" s="370"/>
      <c r="M834" s="370"/>
      <c r="N834" s="370"/>
      <c r="O834" s="371"/>
      <c r="P834" s="371"/>
      <c r="Q834" s="371"/>
      <c r="R834" s="372"/>
      <c r="S834" s="371"/>
      <c r="T834" s="371"/>
      <c r="U834" s="371"/>
    </row>
    <row r="835" spans="1:21" s="302" customFormat="1">
      <c r="A835" s="376"/>
      <c r="B835" s="376"/>
      <c r="C835" s="377"/>
      <c r="D835" s="377"/>
      <c r="E835" s="377"/>
      <c r="F835" s="370"/>
      <c r="G835" s="370"/>
      <c r="H835" s="370"/>
      <c r="I835" s="370"/>
      <c r="J835" s="370"/>
      <c r="K835" s="370"/>
      <c r="L835" s="370"/>
      <c r="M835" s="370"/>
      <c r="N835" s="370"/>
      <c r="O835" s="371"/>
      <c r="P835" s="371"/>
      <c r="Q835" s="371"/>
      <c r="R835" s="372"/>
      <c r="S835" s="371"/>
      <c r="T835" s="371"/>
      <c r="U835" s="371"/>
    </row>
    <row r="836" spans="1:21" s="302" customFormat="1">
      <c r="A836" s="376"/>
      <c r="B836" s="376"/>
      <c r="C836" s="377"/>
      <c r="D836" s="377"/>
      <c r="E836" s="377"/>
      <c r="F836" s="370"/>
      <c r="G836" s="370"/>
      <c r="H836" s="370"/>
      <c r="I836" s="370"/>
      <c r="J836" s="370"/>
      <c r="K836" s="370"/>
      <c r="L836" s="370"/>
      <c r="M836" s="370"/>
      <c r="N836" s="370"/>
      <c r="O836" s="371"/>
      <c r="P836" s="371"/>
      <c r="Q836" s="371"/>
      <c r="R836" s="372"/>
      <c r="S836" s="371"/>
      <c r="T836" s="371"/>
      <c r="U836" s="371"/>
    </row>
    <row r="837" spans="1:21" s="302" customFormat="1">
      <c r="A837" s="376"/>
      <c r="B837" s="376"/>
      <c r="C837" s="377"/>
      <c r="D837" s="377"/>
      <c r="E837" s="377"/>
      <c r="F837" s="370"/>
      <c r="G837" s="370"/>
      <c r="H837" s="370"/>
      <c r="I837" s="370"/>
      <c r="J837" s="370"/>
      <c r="K837" s="370"/>
      <c r="L837" s="370"/>
      <c r="M837" s="370"/>
      <c r="N837" s="370"/>
      <c r="O837" s="371"/>
      <c r="P837" s="371"/>
      <c r="Q837" s="371"/>
      <c r="R837" s="372"/>
      <c r="S837" s="371"/>
      <c r="T837" s="371"/>
      <c r="U837" s="371"/>
    </row>
    <row r="838" spans="1:21" s="302" customFormat="1">
      <c r="A838" s="376"/>
      <c r="B838" s="376"/>
      <c r="C838" s="377"/>
      <c r="D838" s="377"/>
      <c r="E838" s="377"/>
      <c r="F838" s="370"/>
      <c r="G838" s="370"/>
      <c r="H838" s="370"/>
      <c r="I838" s="370"/>
      <c r="J838" s="370"/>
      <c r="K838" s="370"/>
      <c r="L838" s="370"/>
      <c r="M838" s="370"/>
      <c r="N838" s="370"/>
      <c r="O838" s="371"/>
      <c r="P838" s="371"/>
      <c r="Q838" s="371"/>
      <c r="R838" s="372"/>
      <c r="S838" s="371"/>
      <c r="T838" s="371"/>
      <c r="U838" s="371"/>
    </row>
    <row r="839" spans="1:21" s="302" customFormat="1">
      <c r="A839" s="376"/>
      <c r="B839" s="376"/>
      <c r="C839" s="377"/>
      <c r="D839" s="377"/>
      <c r="E839" s="377"/>
      <c r="F839" s="370"/>
      <c r="G839" s="370"/>
      <c r="H839" s="370"/>
      <c r="I839" s="370"/>
      <c r="J839" s="370"/>
      <c r="K839" s="370"/>
      <c r="L839" s="370"/>
      <c r="M839" s="370"/>
      <c r="N839" s="370"/>
      <c r="O839" s="371"/>
      <c r="P839" s="371"/>
      <c r="Q839" s="371"/>
      <c r="R839" s="372"/>
      <c r="S839" s="371"/>
      <c r="T839" s="371"/>
      <c r="U839" s="371"/>
    </row>
    <row r="840" spans="1:21" s="302" customFormat="1">
      <c r="A840" s="376"/>
      <c r="B840" s="376"/>
      <c r="C840" s="377"/>
      <c r="D840" s="377"/>
      <c r="E840" s="377"/>
      <c r="F840" s="370"/>
      <c r="G840" s="370"/>
      <c r="H840" s="370"/>
      <c r="I840" s="370"/>
      <c r="J840" s="370"/>
      <c r="K840" s="370"/>
      <c r="L840" s="370"/>
      <c r="M840" s="370"/>
      <c r="N840" s="370"/>
      <c r="O840" s="371"/>
      <c r="P840" s="371"/>
      <c r="Q840" s="371"/>
      <c r="R840" s="372"/>
      <c r="S840" s="371"/>
      <c r="T840" s="371"/>
      <c r="U840" s="371"/>
    </row>
    <row r="841" spans="1:21" s="302" customFormat="1">
      <c r="A841" s="376"/>
      <c r="B841" s="376"/>
      <c r="C841" s="377"/>
      <c r="D841" s="377"/>
      <c r="E841" s="377"/>
      <c r="F841" s="370"/>
      <c r="G841" s="370"/>
      <c r="H841" s="370"/>
      <c r="I841" s="370"/>
      <c r="J841" s="370"/>
      <c r="K841" s="370"/>
      <c r="L841" s="370"/>
      <c r="M841" s="370"/>
      <c r="N841" s="370"/>
      <c r="O841" s="371"/>
      <c r="P841" s="371"/>
      <c r="Q841" s="371"/>
      <c r="R841" s="372"/>
      <c r="S841" s="371"/>
      <c r="T841" s="371"/>
      <c r="U841" s="371"/>
    </row>
    <row r="842" spans="1:21" s="302" customFormat="1">
      <c r="A842" s="371"/>
      <c r="B842" s="371"/>
      <c r="C842" s="371"/>
      <c r="D842" s="371"/>
      <c r="E842" s="370"/>
      <c r="F842" s="370"/>
      <c r="G842" s="370"/>
      <c r="H842" s="370"/>
      <c r="I842" s="370"/>
      <c r="J842" s="370"/>
      <c r="K842" s="370"/>
      <c r="L842" s="370"/>
      <c r="M842" s="370"/>
      <c r="N842" s="370"/>
      <c r="O842" s="371"/>
      <c r="P842" s="371"/>
      <c r="Q842" s="371"/>
      <c r="R842" s="372"/>
      <c r="S842" s="371"/>
      <c r="T842" s="371"/>
      <c r="U842" s="371"/>
    </row>
    <row r="843" spans="1:21" s="302" customFormat="1">
      <c r="A843" s="371"/>
      <c r="B843" s="371"/>
      <c r="C843" s="371"/>
      <c r="D843" s="371"/>
      <c r="E843" s="370"/>
      <c r="F843" s="370"/>
      <c r="G843" s="370"/>
      <c r="H843" s="370"/>
      <c r="I843" s="370"/>
      <c r="J843" s="370"/>
      <c r="K843" s="370"/>
      <c r="L843" s="370"/>
      <c r="M843" s="370"/>
      <c r="N843" s="370"/>
      <c r="O843" s="371"/>
      <c r="P843" s="371"/>
      <c r="Q843" s="371"/>
      <c r="R843" s="372"/>
      <c r="S843" s="371"/>
      <c r="T843" s="371"/>
      <c r="U843" s="371"/>
    </row>
    <row r="844" spans="1:21" s="302" customFormat="1">
      <c r="A844" s="371"/>
      <c r="B844" s="371"/>
      <c r="C844" s="371"/>
      <c r="D844" s="371"/>
      <c r="E844" s="370"/>
      <c r="F844" s="370"/>
      <c r="G844" s="370"/>
      <c r="H844" s="370"/>
      <c r="I844" s="370"/>
      <c r="J844" s="370"/>
      <c r="K844" s="370"/>
      <c r="L844" s="370"/>
      <c r="M844" s="370"/>
      <c r="N844" s="370"/>
      <c r="O844" s="371"/>
      <c r="P844" s="371"/>
      <c r="Q844" s="371"/>
      <c r="R844" s="372"/>
      <c r="S844" s="371"/>
      <c r="T844" s="371"/>
      <c r="U844" s="371"/>
    </row>
    <row r="845" spans="1:21" s="302" customFormat="1">
      <c r="A845" s="371"/>
      <c r="B845" s="371"/>
      <c r="C845" s="371"/>
      <c r="D845" s="371"/>
      <c r="E845" s="370"/>
      <c r="F845" s="370"/>
      <c r="G845" s="370"/>
      <c r="H845" s="370"/>
      <c r="I845" s="370"/>
      <c r="J845" s="370"/>
      <c r="K845" s="370"/>
      <c r="L845" s="370"/>
      <c r="M845" s="370"/>
      <c r="N845" s="370"/>
      <c r="O845" s="371"/>
      <c r="P845" s="371"/>
      <c r="Q845" s="371"/>
      <c r="R845" s="372"/>
      <c r="S845" s="371"/>
      <c r="T845" s="371"/>
      <c r="U845" s="371"/>
    </row>
    <row r="846" spans="1:21" s="302" customFormat="1">
      <c r="A846" s="371"/>
      <c r="B846" s="371"/>
      <c r="C846" s="371"/>
      <c r="D846" s="371"/>
      <c r="E846" s="370"/>
      <c r="F846" s="370"/>
      <c r="G846" s="370"/>
      <c r="H846" s="370"/>
      <c r="I846" s="370"/>
      <c r="J846" s="370"/>
      <c r="K846" s="370"/>
      <c r="L846" s="370"/>
      <c r="M846" s="370"/>
      <c r="N846" s="370"/>
      <c r="O846" s="371"/>
      <c r="P846" s="371"/>
      <c r="Q846" s="371"/>
      <c r="R846" s="372"/>
      <c r="S846" s="371"/>
      <c r="T846" s="371"/>
      <c r="U846" s="371"/>
    </row>
    <row r="847" spans="1:21" s="302" customFormat="1">
      <c r="A847" s="371"/>
      <c r="B847" s="371"/>
      <c r="C847" s="371"/>
      <c r="D847" s="371"/>
      <c r="E847" s="370"/>
      <c r="F847" s="370"/>
      <c r="G847" s="370"/>
      <c r="H847" s="370"/>
      <c r="I847" s="370"/>
      <c r="J847" s="370"/>
      <c r="K847" s="370"/>
      <c r="L847" s="370"/>
      <c r="M847" s="370"/>
      <c r="N847" s="370"/>
      <c r="O847" s="371"/>
      <c r="P847" s="371"/>
      <c r="Q847" s="371"/>
      <c r="R847" s="372"/>
      <c r="S847" s="371"/>
      <c r="T847" s="371"/>
      <c r="U847" s="371"/>
    </row>
    <row r="848" spans="1:21" s="302" customFormat="1">
      <c r="A848" s="371"/>
      <c r="B848" s="371"/>
      <c r="C848" s="371"/>
      <c r="D848" s="371"/>
      <c r="E848" s="370"/>
      <c r="F848" s="370"/>
      <c r="G848" s="370"/>
      <c r="H848" s="370"/>
      <c r="I848" s="370"/>
      <c r="J848" s="370"/>
      <c r="K848" s="370"/>
      <c r="L848" s="370"/>
      <c r="M848" s="370"/>
      <c r="N848" s="370"/>
      <c r="O848" s="371"/>
      <c r="P848" s="371"/>
      <c r="Q848" s="371"/>
      <c r="R848" s="372"/>
      <c r="S848" s="371"/>
      <c r="T848" s="371"/>
      <c r="U848" s="371"/>
    </row>
    <row r="849" spans="1:21" s="302" customFormat="1">
      <c r="A849" s="373" t="s">
        <v>175</v>
      </c>
      <c r="B849" s="374">
        <f>B799+1</f>
        <v>19</v>
      </c>
      <c r="C849" s="371"/>
      <c r="D849" s="371"/>
      <c r="E849" s="370"/>
      <c r="F849" s="370"/>
      <c r="G849" s="370"/>
      <c r="H849" s="370"/>
      <c r="I849" s="370"/>
      <c r="J849" s="370"/>
      <c r="K849" s="370"/>
      <c r="L849" s="370"/>
      <c r="M849" s="370"/>
      <c r="N849" s="370"/>
      <c r="O849" s="371"/>
      <c r="P849" s="371"/>
      <c r="Q849" s="371"/>
      <c r="R849" s="372"/>
      <c r="S849" s="371"/>
      <c r="T849" s="371"/>
      <c r="U849" s="371"/>
    </row>
    <row r="850" spans="1:21" s="302" customFormat="1">
      <c r="A850" s="448" t="s">
        <v>384</v>
      </c>
      <c r="B850" s="449"/>
      <c r="C850" s="449"/>
      <c r="D850" s="450"/>
      <c r="E850" s="370"/>
      <c r="F850" s="370"/>
      <c r="G850" s="370"/>
      <c r="H850" s="370"/>
      <c r="I850" s="370"/>
      <c r="J850" s="371"/>
      <c r="K850" s="370"/>
      <c r="L850" s="370"/>
      <c r="M850" s="370"/>
      <c r="N850" s="370"/>
      <c r="O850" s="371"/>
      <c r="P850" s="371"/>
      <c r="Q850" s="371"/>
      <c r="R850" s="372"/>
      <c r="S850" s="371"/>
      <c r="T850" s="371"/>
      <c r="U850" s="371"/>
    </row>
    <row r="851" spans="1:21" s="302" customFormat="1" ht="30">
      <c r="A851" s="378" t="s">
        <v>452</v>
      </c>
      <c r="B851" s="378" t="s">
        <v>142</v>
      </c>
      <c r="C851" s="375" t="s">
        <v>20</v>
      </c>
      <c r="D851" s="375" t="s">
        <v>21</v>
      </c>
      <c r="E851" s="370"/>
      <c r="F851" s="370"/>
      <c r="G851" s="370"/>
      <c r="H851" s="370"/>
      <c r="I851" s="370"/>
      <c r="J851" s="371"/>
      <c r="K851" s="370"/>
      <c r="L851" s="370"/>
      <c r="M851" s="370"/>
      <c r="N851" s="370"/>
      <c r="O851" s="371"/>
      <c r="P851" s="371"/>
      <c r="Q851" s="371"/>
      <c r="R851" s="372"/>
      <c r="S851" s="371"/>
      <c r="T851" s="371"/>
      <c r="U851" s="371"/>
    </row>
    <row r="852" spans="1:21" s="302" customFormat="1">
      <c r="A852" s="320"/>
      <c r="B852" s="320"/>
      <c r="C852" s="320"/>
      <c r="D852" s="320"/>
      <c r="E852" s="370"/>
      <c r="F852" s="370"/>
      <c r="G852" s="370"/>
      <c r="H852" s="370"/>
      <c r="I852" s="371"/>
      <c r="J852" s="370"/>
      <c r="K852" s="370"/>
      <c r="L852" s="370"/>
      <c r="M852" s="370"/>
      <c r="N852" s="371"/>
      <c r="O852" s="371"/>
      <c r="P852" s="371"/>
      <c r="Q852" s="372"/>
      <c r="R852" s="371"/>
      <c r="S852" s="371"/>
      <c r="T852" s="371"/>
    </row>
    <row r="853" spans="1:21" s="302" customFormat="1">
      <c r="A853" s="320"/>
      <c r="B853" s="320"/>
      <c r="C853" s="320"/>
      <c r="D853" s="320"/>
      <c r="E853" s="370"/>
      <c r="F853" s="370"/>
      <c r="G853" s="370"/>
      <c r="H853" s="370"/>
      <c r="I853" s="371"/>
      <c r="J853" s="370"/>
      <c r="K853" s="370"/>
      <c r="L853" s="370"/>
      <c r="M853" s="370"/>
      <c r="N853" s="371"/>
      <c r="O853" s="371"/>
      <c r="P853" s="371"/>
      <c r="Q853" s="372"/>
      <c r="R853" s="371"/>
      <c r="S853" s="371"/>
      <c r="T853" s="371"/>
    </row>
    <row r="854" spans="1:21" s="302" customFormat="1">
      <c r="A854" s="320"/>
      <c r="B854" s="320"/>
      <c r="C854" s="320"/>
      <c r="D854" s="320"/>
      <c r="E854" s="370"/>
      <c r="F854" s="370"/>
      <c r="G854" s="370"/>
      <c r="H854" s="370"/>
      <c r="I854" s="371"/>
      <c r="J854" s="370"/>
      <c r="K854" s="370"/>
      <c r="L854" s="370"/>
      <c r="M854" s="370"/>
      <c r="N854" s="371"/>
      <c r="O854" s="371"/>
      <c r="P854" s="371"/>
      <c r="Q854" s="372"/>
      <c r="R854" s="371"/>
      <c r="S854" s="371"/>
      <c r="T854" s="371"/>
    </row>
    <row r="855" spans="1:21" s="302" customFormat="1">
      <c r="A855" s="320"/>
      <c r="B855" s="320"/>
      <c r="C855" s="320"/>
      <c r="D855" s="320"/>
      <c r="E855" s="370"/>
      <c r="F855" s="370"/>
      <c r="G855" s="370"/>
      <c r="H855" s="370"/>
      <c r="I855" s="371"/>
      <c r="J855" s="370"/>
      <c r="K855" s="370"/>
      <c r="L855" s="370"/>
      <c r="M855" s="370"/>
      <c r="N855" s="371"/>
      <c r="O855" s="371"/>
      <c r="P855" s="371"/>
      <c r="Q855" s="372"/>
      <c r="R855" s="371"/>
      <c r="S855" s="371"/>
      <c r="T855" s="371"/>
    </row>
    <row r="856" spans="1:21" s="302" customFormat="1">
      <c r="A856" s="320"/>
      <c r="B856" s="320"/>
      <c r="C856" s="320"/>
      <c r="D856" s="320"/>
      <c r="E856" s="370"/>
      <c r="F856" s="370"/>
      <c r="G856" s="370"/>
      <c r="H856" s="370"/>
      <c r="I856" s="371"/>
      <c r="J856" s="370"/>
      <c r="K856" s="370"/>
      <c r="L856" s="370"/>
      <c r="M856" s="370"/>
      <c r="N856" s="371"/>
      <c r="O856" s="371"/>
      <c r="P856" s="371"/>
      <c r="Q856" s="372"/>
      <c r="R856" s="371"/>
      <c r="S856" s="371"/>
      <c r="T856" s="371"/>
    </row>
    <row r="857" spans="1:21" s="302" customFormat="1">
      <c r="A857" s="320"/>
      <c r="B857" s="320"/>
      <c r="C857" s="320"/>
      <c r="D857" s="320"/>
      <c r="E857" s="370"/>
      <c r="F857" s="370"/>
      <c r="G857" s="370"/>
      <c r="H857" s="370"/>
      <c r="I857" s="371"/>
      <c r="J857" s="370"/>
      <c r="K857" s="370"/>
      <c r="L857" s="370"/>
      <c r="M857" s="370"/>
      <c r="N857" s="371"/>
      <c r="O857" s="371"/>
      <c r="P857" s="371"/>
      <c r="Q857" s="372"/>
      <c r="R857" s="371"/>
      <c r="S857" s="371"/>
      <c r="T857" s="371"/>
    </row>
    <row r="858" spans="1:21" s="302" customFormat="1">
      <c r="A858" s="320"/>
      <c r="B858" s="320"/>
      <c r="C858" s="320"/>
      <c r="D858" s="320"/>
      <c r="E858" s="370"/>
      <c r="F858" s="370"/>
      <c r="G858" s="370"/>
      <c r="H858" s="370"/>
      <c r="I858" s="371"/>
      <c r="J858" s="370"/>
      <c r="K858" s="370"/>
      <c r="L858" s="370"/>
      <c r="M858" s="370"/>
      <c r="N858" s="371"/>
      <c r="O858" s="371"/>
      <c r="P858" s="371"/>
      <c r="Q858" s="372"/>
      <c r="R858" s="371"/>
      <c r="S858" s="371"/>
      <c r="T858" s="371"/>
    </row>
    <row r="859" spans="1:21" s="302" customFormat="1">
      <c r="A859" s="320"/>
      <c r="B859" s="320"/>
      <c r="C859" s="320"/>
      <c r="D859" s="320"/>
      <c r="E859" s="370"/>
      <c r="F859" s="370"/>
      <c r="G859" s="370"/>
      <c r="H859" s="370"/>
      <c r="I859" s="371"/>
      <c r="J859" s="370"/>
      <c r="K859" s="370"/>
      <c r="L859" s="370"/>
      <c r="M859" s="370"/>
      <c r="N859" s="371"/>
      <c r="O859" s="371"/>
      <c r="P859" s="371"/>
      <c r="Q859" s="372"/>
      <c r="R859" s="371"/>
      <c r="S859" s="371"/>
      <c r="T859" s="371"/>
    </row>
    <row r="860" spans="1:21" s="302" customFormat="1">
      <c r="A860" s="320"/>
      <c r="B860" s="320"/>
      <c r="C860" s="320"/>
      <c r="D860" s="320"/>
      <c r="E860" s="370"/>
      <c r="F860" s="370"/>
      <c r="G860" s="370"/>
      <c r="H860" s="370"/>
      <c r="I860" s="371"/>
      <c r="J860" s="370"/>
      <c r="K860" s="370"/>
      <c r="L860" s="370"/>
      <c r="M860" s="370"/>
      <c r="N860" s="371"/>
      <c r="O860" s="371"/>
      <c r="P860" s="371"/>
      <c r="Q860" s="372"/>
      <c r="R860" s="371"/>
      <c r="S860" s="371"/>
      <c r="T860" s="371"/>
    </row>
    <row r="861" spans="1:21" s="302" customFormat="1">
      <c r="A861" s="320"/>
      <c r="B861" s="320"/>
      <c r="C861" s="320"/>
      <c r="D861" s="320"/>
      <c r="E861" s="370"/>
      <c r="F861" s="370"/>
      <c r="G861" s="370"/>
      <c r="H861" s="370"/>
      <c r="I861" s="371"/>
      <c r="J861" s="370"/>
      <c r="K861" s="370"/>
      <c r="L861" s="370"/>
      <c r="M861" s="370"/>
      <c r="N861" s="371"/>
      <c r="O861" s="371"/>
      <c r="P861" s="371"/>
      <c r="Q861" s="372"/>
      <c r="R861" s="371"/>
      <c r="S861" s="371"/>
      <c r="T861" s="371"/>
    </row>
    <row r="862" spans="1:21" s="302" customFormat="1">
      <c r="A862" s="320"/>
      <c r="B862" s="320"/>
      <c r="C862" s="320"/>
      <c r="D862" s="320"/>
      <c r="E862" s="370"/>
      <c r="F862" s="370"/>
      <c r="G862" s="370"/>
      <c r="H862" s="370"/>
      <c r="I862" s="371"/>
      <c r="J862" s="370"/>
      <c r="K862" s="370"/>
      <c r="L862" s="370"/>
      <c r="M862" s="370"/>
      <c r="N862" s="371"/>
      <c r="O862" s="371"/>
      <c r="P862" s="371"/>
      <c r="Q862" s="372"/>
      <c r="R862" s="371"/>
      <c r="S862" s="371"/>
      <c r="T862" s="371"/>
    </row>
    <row r="863" spans="1:21" s="302" customFormat="1">
      <c r="A863" s="320"/>
      <c r="B863" s="320"/>
      <c r="C863" s="320"/>
      <c r="D863" s="320"/>
      <c r="E863" s="370"/>
      <c r="F863" s="370"/>
      <c r="G863" s="370"/>
      <c r="H863" s="370"/>
      <c r="I863" s="371"/>
      <c r="J863" s="370"/>
      <c r="K863" s="370"/>
      <c r="L863" s="370"/>
      <c r="M863" s="370"/>
      <c r="N863" s="371"/>
      <c r="O863" s="371"/>
      <c r="P863" s="371"/>
      <c r="Q863" s="372"/>
      <c r="R863" s="371"/>
      <c r="S863" s="371"/>
      <c r="T863" s="371"/>
    </row>
    <row r="864" spans="1:21" s="302" customFormat="1">
      <c r="A864" s="320"/>
      <c r="B864" s="320"/>
      <c r="C864" s="320"/>
      <c r="D864" s="320"/>
      <c r="E864" s="370"/>
      <c r="F864" s="370"/>
      <c r="G864" s="370"/>
      <c r="H864" s="370"/>
      <c r="I864" s="370"/>
      <c r="J864" s="370"/>
      <c r="K864" s="370"/>
      <c r="L864" s="370"/>
      <c r="M864" s="370"/>
      <c r="N864" s="371"/>
      <c r="O864" s="371"/>
      <c r="P864" s="371"/>
      <c r="Q864" s="372"/>
      <c r="R864" s="371"/>
      <c r="S864" s="371"/>
      <c r="T864" s="371"/>
    </row>
    <row r="865" spans="1:21" s="302" customFormat="1">
      <c r="A865" s="320"/>
      <c r="B865" s="320"/>
      <c r="C865" s="320"/>
      <c r="D865" s="320"/>
      <c r="E865" s="370"/>
      <c r="F865" s="370"/>
      <c r="G865" s="370"/>
      <c r="H865" s="370"/>
      <c r="I865" s="370"/>
      <c r="J865" s="370"/>
      <c r="K865" s="370"/>
      <c r="L865" s="370"/>
      <c r="M865" s="370"/>
      <c r="N865" s="371"/>
      <c r="O865" s="371"/>
      <c r="P865" s="371"/>
      <c r="Q865" s="372"/>
      <c r="R865" s="371"/>
      <c r="S865" s="371"/>
      <c r="T865" s="371"/>
    </row>
    <row r="866" spans="1:21" s="302" customFormat="1">
      <c r="A866" s="320"/>
      <c r="B866" s="320"/>
      <c r="C866" s="320"/>
      <c r="D866" s="320"/>
      <c r="E866" s="370"/>
      <c r="F866" s="370"/>
      <c r="G866" s="370"/>
      <c r="H866" s="370"/>
      <c r="I866" s="370"/>
      <c r="J866" s="370"/>
      <c r="K866" s="370"/>
      <c r="L866" s="370"/>
      <c r="M866" s="370"/>
      <c r="N866" s="371"/>
      <c r="O866" s="371"/>
      <c r="P866" s="371"/>
      <c r="Q866" s="372"/>
      <c r="R866" s="371"/>
      <c r="S866" s="371"/>
      <c r="T866" s="371"/>
    </row>
    <row r="867" spans="1:21" s="302" customFormat="1">
      <c r="A867" s="320"/>
      <c r="B867" s="320"/>
      <c r="C867" s="320"/>
      <c r="D867" s="320"/>
      <c r="E867" s="370"/>
      <c r="F867" s="370"/>
      <c r="G867" s="370"/>
      <c r="H867" s="370"/>
      <c r="I867" s="370"/>
      <c r="J867" s="370"/>
      <c r="K867" s="370"/>
      <c r="L867" s="370"/>
      <c r="M867" s="370"/>
      <c r="N867" s="371"/>
      <c r="O867" s="371"/>
      <c r="P867" s="371"/>
      <c r="Q867" s="372"/>
      <c r="R867" s="371"/>
      <c r="S867" s="371"/>
      <c r="T867" s="371"/>
    </row>
    <row r="868" spans="1:21" s="302" customFormat="1">
      <c r="A868" s="320"/>
      <c r="B868" s="320"/>
      <c r="C868" s="320"/>
      <c r="D868" s="320"/>
      <c r="E868" s="370"/>
      <c r="F868" s="370"/>
      <c r="G868" s="370"/>
      <c r="H868" s="370"/>
      <c r="I868" s="370"/>
      <c r="J868" s="370"/>
      <c r="K868" s="370"/>
      <c r="L868" s="370"/>
      <c r="M868" s="370"/>
      <c r="N868" s="371"/>
      <c r="O868" s="371"/>
      <c r="P868" s="371"/>
      <c r="Q868" s="372"/>
      <c r="R868" s="371"/>
      <c r="S868" s="371"/>
      <c r="T868" s="371"/>
    </row>
    <row r="869" spans="1:21" s="302" customFormat="1">
      <c r="A869" s="320"/>
      <c r="B869" s="320"/>
      <c r="C869" s="320"/>
      <c r="D869" s="320"/>
      <c r="E869" s="370"/>
      <c r="F869" s="370"/>
      <c r="G869" s="370"/>
      <c r="H869" s="370"/>
      <c r="I869" s="370"/>
      <c r="J869" s="370"/>
      <c r="K869" s="370"/>
      <c r="L869" s="370"/>
      <c r="M869" s="370"/>
      <c r="N869" s="371"/>
      <c r="O869" s="371"/>
      <c r="P869" s="371"/>
      <c r="Q869" s="372"/>
      <c r="R869" s="371"/>
      <c r="S869" s="371"/>
      <c r="T869" s="371"/>
    </row>
    <row r="870" spans="1:21" s="302" customFormat="1">
      <c r="A870" s="320"/>
      <c r="B870" s="320"/>
      <c r="C870" s="320"/>
      <c r="D870" s="320"/>
      <c r="E870" s="370"/>
      <c r="F870" s="370"/>
      <c r="G870" s="370"/>
      <c r="H870" s="370"/>
      <c r="I870" s="370"/>
      <c r="J870" s="370"/>
      <c r="K870" s="370"/>
      <c r="L870" s="370"/>
      <c r="M870" s="370"/>
      <c r="N870" s="371"/>
      <c r="O870" s="371"/>
      <c r="P870" s="371"/>
      <c r="Q870" s="372"/>
      <c r="R870" s="371"/>
      <c r="S870" s="371"/>
      <c r="T870" s="371"/>
    </row>
    <row r="871" spans="1:21" s="302" customFormat="1">
      <c r="A871" s="320"/>
      <c r="B871" s="320"/>
      <c r="C871" s="320"/>
      <c r="D871" s="320"/>
      <c r="E871" s="370"/>
      <c r="F871" s="370"/>
      <c r="G871" s="370"/>
      <c r="H871" s="370"/>
      <c r="I871" s="370"/>
      <c r="J871" s="370"/>
      <c r="K871" s="370"/>
      <c r="L871" s="370"/>
      <c r="M871" s="370"/>
      <c r="N871" s="371"/>
      <c r="O871" s="371"/>
      <c r="P871" s="371"/>
      <c r="Q871" s="372"/>
      <c r="R871" s="371"/>
      <c r="S871" s="371"/>
      <c r="T871" s="371"/>
    </row>
    <row r="872" spans="1:21" s="302" customFormat="1">
      <c r="A872" s="320"/>
      <c r="B872" s="320"/>
      <c r="C872" s="320"/>
      <c r="D872" s="320"/>
      <c r="E872" s="370"/>
      <c r="F872" s="370"/>
      <c r="G872" s="370"/>
      <c r="H872" s="370"/>
      <c r="I872" s="370"/>
      <c r="J872" s="370"/>
      <c r="K872" s="370"/>
      <c r="L872" s="370"/>
      <c r="M872" s="370"/>
      <c r="N872" s="371"/>
      <c r="O872" s="371"/>
      <c r="P872" s="371"/>
      <c r="Q872" s="372"/>
      <c r="R872" s="371"/>
      <c r="S872" s="371"/>
      <c r="T872" s="371"/>
    </row>
    <row r="873" spans="1:21" s="302" customFormat="1">
      <c r="A873" s="320"/>
      <c r="B873" s="320"/>
      <c r="C873" s="320"/>
      <c r="D873" s="320"/>
      <c r="E873" s="370"/>
      <c r="F873" s="370"/>
      <c r="G873" s="370"/>
      <c r="H873" s="370"/>
      <c r="I873" s="370"/>
      <c r="J873" s="370"/>
      <c r="K873" s="370"/>
      <c r="L873" s="370"/>
      <c r="M873" s="370"/>
      <c r="N873" s="370"/>
      <c r="O873" s="371"/>
      <c r="P873" s="371"/>
      <c r="Q873" s="371"/>
      <c r="R873" s="372"/>
      <c r="S873" s="371"/>
      <c r="T873" s="371"/>
      <c r="U873" s="371"/>
    </row>
    <row r="874" spans="1:21" s="302" customFormat="1">
      <c r="A874" s="320"/>
      <c r="B874" s="320"/>
      <c r="C874" s="320"/>
      <c r="D874" s="320"/>
      <c r="E874" s="370"/>
      <c r="F874" s="370"/>
      <c r="G874" s="370"/>
      <c r="H874" s="370"/>
      <c r="I874" s="370"/>
      <c r="J874" s="370"/>
      <c r="K874" s="370"/>
      <c r="L874" s="370"/>
      <c r="M874" s="370"/>
      <c r="N874" s="370"/>
      <c r="O874" s="371"/>
      <c r="P874" s="371"/>
      <c r="Q874" s="371"/>
      <c r="R874" s="372"/>
      <c r="S874" s="371"/>
      <c r="T874" s="371"/>
      <c r="U874" s="371"/>
    </row>
    <row r="875" spans="1:21" s="302" customFormat="1">
      <c r="A875" s="320"/>
      <c r="B875" s="320"/>
      <c r="C875" s="320"/>
      <c r="D875" s="320"/>
      <c r="E875" s="370"/>
      <c r="F875" s="370"/>
      <c r="G875" s="370"/>
      <c r="H875" s="370"/>
      <c r="I875" s="370"/>
      <c r="J875" s="370"/>
      <c r="K875" s="370"/>
      <c r="L875" s="370"/>
      <c r="M875" s="370"/>
      <c r="N875" s="370"/>
      <c r="O875" s="371"/>
      <c r="P875" s="371"/>
      <c r="Q875" s="371"/>
      <c r="R875" s="372"/>
      <c r="S875" s="371"/>
      <c r="T875" s="371"/>
      <c r="U875" s="371"/>
    </row>
    <row r="876" spans="1:21" s="302" customFormat="1">
      <c r="A876" s="320"/>
      <c r="B876" s="320"/>
      <c r="C876" s="320"/>
      <c r="D876" s="320"/>
      <c r="E876" s="370"/>
      <c r="F876" s="370"/>
      <c r="G876" s="370"/>
      <c r="H876" s="370"/>
      <c r="I876" s="370"/>
      <c r="J876" s="370"/>
      <c r="K876" s="370"/>
      <c r="L876" s="370"/>
      <c r="M876" s="370"/>
      <c r="N876" s="370"/>
      <c r="O876" s="371"/>
      <c r="P876" s="371"/>
      <c r="Q876" s="371"/>
      <c r="R876" s="372"/>
      <c r="S876" s="371"/>
      <c r="T876" s="371"/>
      <c r="U876" s="371"/>
    </row>
    <row r="877" spans="1:21" s="302" customFormat="1">
      <c r="A877" s="320"/>
      <c r="B877" s="320"/>
      <c r="C877" s="320"/>
      <c r="D877" s="320"/>
      <c r="E877" s="370"/>
      <c r="F877" s="370"/>
      <c r="G877" s="370"/>
      <c r="H877" s="370"/>
      <c r="I877" s="370"/>
      <c r="J877" s="370"/>
      <c r="K877" s="370"/>
      <c r="L877" s="370"/>
      <c r="M877" s="370"/>
      <c r="N877" s="370"/>
      <c r="O877" s="371"/>
      <c r="P877" s="371"/>
      <c r="Q877" s="371"/>
      <c r="R877" s="372"/>
      <c r="S877" s="371"/>
      <c r="T877" s="371"/>
      <c r="U877" s="371"/>
    </row>
    <row r="878" spans="1:21" s="302" customFormat="1">
      <c r="A878" s="320"/>
      <c r="B878" s="320"/>
      <c r="C878" s="320"/>
      <c r="D878" s="320"/>
      <c r="E878" s="370"/>
      <c r="F878" s="370"/>
      <c r="G878" s="370"/>
      <c r="H878" s="370"/>
      <c r="I878" s="370"/>
      <c r="J878" s="370"/>
      <c r="K878" s="370"/>
      <c r="L878" s="370"/>
      <c r="M878" s="370"/>
      <c r="N878" s="370"/>
      <c r="O878" s="371"/>
      <c r="P878" s="371"/>
      <c r="Q878" s="371"/>
      <c r="R878" s="372"/>
      <c r="S878" s="371"/>
      <c r="T878" s="371"/>
      <c r="U878" s="371"/>
    </row>
    <row r="879" spans="1:21" s="302" customFormat="1">
      <c r="A879" s="320"/>
      <c r="B879" s="320"/>
      <c r="C879" s="320"/>
      <c r="D879" s="320"/>
      <c r="E879" s="370"/>
      <c r="F879" s="370"/>
      <c r="G879" s="370"/>
      <c r="H879" s="370"/>
      <c r="I879" s="370"/>
      <c r="J879" s="370"/>
      <c r="K879" s="370"/>
      <c r="L879" s="370"/>
      <c r="M879" s="370"/>
      <c r="N879" s="370"/>
      <c r="O879" s="371"/>
      <c r="P879" s="371"/>
      <c r="Q879" s="371"/>
      <c r="R879" s="372"/>
      <c r="S879" s="371"/>
      <c r="T879" s="371"/>
      <c r="U879" s="371"/>
    </row>
    <row r="880" spans="1:21" s="302" customFormat="1">
      <c r="A880" s="320"/>
      <c r="B880" s="320"/>
      <c r="C880" s="320"/>
      <c r="D880" s="320"/>
      <c r="E880" s="370"/>
      <c r="F880" s="370"/>
      <c r="G880" s="370"/>
      <c r="H880" s="370"/>
      <c r="I880" s="370"/>
      <c r="J880" s="370"/>
      <c r="K880" s="370"/>
      <c r="L880" s="370"/>
      <c r="M880" s="370"/>
      <c r="N880" s="370"/>
      <c r="O880" s="371"/>
      <c r="P880" s="371"/>
      <c r="Q880" s="371"/>
      <c r="R880" s="372"/>
      <c r="S880" s="371"/>
      <c r="T880" s="371"/>
      <c r="U880" s="371"/>
    </row>
    <row r="881" spans="1:21" s="302" customFormat="1">
      <c r="A881" s="320"/>
      <c r="B881" s="320"/>
      <c r="C881" s="320"/>
      <c r="D881" s="320"/>
      <c r="E881" s="370"/>
      <c r="F881" s="370"/>
      <c r="G881" s="370"/>
      <c r="H881" s="370"/>
      <c r="I881" s="370"/>
      <c r="J881" s="370"/>
      <c r="K881" s="370"/>
      <c r="L881" s="370"/>
      <c r="M881" s="370"/>
      <c r="N881" s="370"/>
      <c r="O881" s="371"/>
      <c r="P881" s="371"/>
      <c r="Q881" s="371"/>
      <c r="R881" s="372"/>
      <c r="S881" s="371"/>
      <c r="T881" s="371"/>
      <c r="U881" s="371"/>
    </row>
    <row r="882" spans="1:21" s="302" customFormat="1">
      <c r="A882" s="320"/>
      <c r="B882" s="320"/>
      <c r="C882" s="320"/>
      <c r="D882" s="320"/>
      <c r="E882" s="370"/>
      <c r="F882" s="370"/>
      <c r="G882" s="370"/>
      <c r="H882" s="370"/>
      <c r="I882" s="370"/>
      <c r="J882" s="370"/>
      <c r="K882" s="370"/>
      <c r="L882" s="370"/>
      <c r="M882" s="370"/>
      <c r="N882" s="370"/>
      <c r="O882" s="371"/>
      <c r="P882" s="371"/>
      <c r="Q882" s="371"/>
      <c r="R882" s="372"/>
      <c r="S882" s="371"/>
      <c r="T882" s="371"/>
      <c r="U882" s="371"/>
    </row>
    <row r="883" spans="1:21" s="302" customFormat="1">
      <c r="A883" s="376"/>
      <c r="B883" s="376"/>
      <c r="C883" s="377"/>
      <c r="D883" s="377"/>
      <c r="E883" s="370"/>
      <c r="F883" s="370"/>
      <c r="G883" s="370"/>
      <c r="H883" s="370"/>
      <c r="I883" s="370"/>
      <c r="J883" s="370"/>
      <c r="K883" s="370"/>
      <c r="L883" s="370"/>
      <c r="M883" s="370"/>
      <c r="N883" s="370"/>
      <c r="O883" s="371"/>
      <c r="P883" s="371"/>
      <c r="Q883" s="371"/>
      <c r="R883" s="372"/>
      <c r="S883" s="371"/>
      <c r="T883" s="371"/>
      <c r="U883" s="371"/>
    </row>
    <row r="884" spans="1:21" s="302" customFormat="1">
      <c r="A884" s="376"/>
      <c r="B884" s="376"/>
      <c r="C884" s="377"/>
      <c r="D884" s="377"/>
      <c r="E884" s="370"/>
      <c r="F884" s="370"/>
      <c r="G884" s="370"/>
      <c r="H884" s="370"/>
      <c r="I884" s="370"/>
      <c r="J884" s="370"/>
      <c r="K884" s="370"/>
      <c r="L884" s="370"/>
      <c r="M884" s="370"/>
      <c r="N884" s="370"/>
      <c r="O884" s="371"/>
      <c r="P884" s="371"/>
      <c r="Q884" s="371"/>
      <c r="R884" s="372"/>
      <c r="S884" s="371"/>
      <c r="T884" s="371"/>
      <c r="U884" s="371"/>
    </row>
    <row r="885" spans="1:21" s="302" customFormat="1">
      <c r="A885" s="376"/>
      <c r="B885" s="376"/>
      <c r="C885" s="377"/>
      <c r="D885" s="377"/>
      <c r="E885" s="370"/>
      <c r="F885" s="370"/>
      <c r="G885" s="370"/>
      <c r="H885" s="370"/>
      <c r="I885" s="370"/>
      <c r="J885" s="370"/>
      <c r="K885" s="370"/>
      <c r="L885" s="370"/>
      <c r="M885" s="370"/>
      <c r="N885" s="370"/>
      <c r="O885" s="371"/>
      <c r="P885" s="371"/>
      <c r="Q885" s="371"/>
      <c r="R885" s="372"/>
      <c r="S885" s="371"/>
      <c r="T885" s="371"/>
      <c r="U885" s="371"/>
    </row>
    <row r="886" spans="1:21" s="302" customFormat="1">
      <c r="A886" s="376"/>
      <c r="B886" s="376"/>
      <c r="C886" s="377"/>
      <c r="D886" s="377"/>
      <c r="E886" s="370"/>
      <c r="F886" s="370"/>
      <c r="G886" s="370"/>
      <c r="H886" s="370"/>
      <c r="I886" s="370"/>
      <c r="J886" s="370"/>
      <c r="K886" s="370"/>
      <c r="L886" s="370"/>
      <c r="M886" s="370"/>
      <c r="N886" s="370"/>
      <c r="O886" s="371"/>
      <c r="P886" s="371"/>
      <c r="Q886" s="371"/>
      <c r="R886" s="372"/>
      <c r="S886" s="371"/>
      <c r="T886" s="371"/>
      <c r="U886" s="371"/>
    </row>
    <row r="887" spans="1:21" s="302" customFormat="1">
      <c r="A887" s="376"/>
      <c r="B887" s="376"/>
      <c r="C887" s="377"/>
      <c r="D887" s="377"/>
      <c r="E887" s="370"/>
      <c r="F887" s="370"/>
      <c r="G887" s="370"/>
      <c r="H887" s="370"/>
      <c r="I887" s="370"/>
      <c r="J887" s="370"/>
      <c r="K887" s="370"/>
      <c r="L887" s="370"/>
      <c r="M887" s="370"/>
      <c r="N887" s="370"/>
      <c r="O887" s="371"/>
      <c r="P887" s="371"/>
      <c r="Q887" s="371"/>
      <c r="R887" s="372"/>
      <c r="S887" s="371"/>
      <c r="T887" s="371"/>
      <c r="U887" s="371"/>
    </row>
    <row r="888" spans="1:21" s="302" customFormat="1">
      <c r="A888" s="376"/>
      <c r="B888" s="376"/>
      <c r="C888" s="377"/>
      <c r="D888" s="377"/>
      <c r="E888" s="370"/>
      <c r="F888" s="370"/>
      <c r="G888" s="370"/>
      <c r="H888" s="370"/>
      <c r="I888" s="370"/>
      <c r="J888" s="370"/>
      <c r="K888" s="370"/>
      <c r="L888" s="370"/>
      <c r="M888" s="370"/>
      <c r="N888" s="370"/>
      <c r="O888" s="371"/>
      <c r="P888" s="371"/>
      <c r="Q888" s="371"/>
      <c r="R888" s="372"/>
      <c r="S888" s="371"/>
      <c r="T888" s="371"/>
      <c r="U888" s="371"/>
    </row>
    <row r="889" spans="1:21" s="302" customFormat="1">
      <c r="A889" s="376"/>
      <c r="B889" s="376"/>
      <c r="C889" s="377"/>
      <c r="D889" s="377"/>
      <c r="E889" s="370"/>
      <c r="F889" s="370"/>
      <c r="G889" s="370"/>
      <c r="H889" s="370"/>
      <c r="I889" s="370"/>
      <c r="J889" s="370"/>
      <c r="K889" s="370"/>
      <c r="L889" s="370"/>
      <c r="M889" s="370"/>
      <c r="N889" s="370"/>
      <c r="O889" s="371"/>
      <c r="P889" s="371"/>
      <c r="Q889" s="371"/>
      <c r="R889" s="372"/>
      <c r="S889" s="371"/>
      <c r="T889" s="371"/>
      <c r="U889" s="371"/>
    </row>
    <row r="890" spans="1:21" s="302" customFormat="1">
      <c r="A890" s="376"/>
      <c r="B890" s="376"/>
      <c r="C890" s="377"/>
      <c r="D890" s="377"/>
      <c r="E890" s="370"/>
      <c r="F890" s="370"/>
      <c r="G890" s="370"/>
      <c r="H890" s="370"/>
      <c r="I890" s="370"/>
      <c r="J890" s="370"/>
      <c r="K890" s="370"/>
      <c r="L890" s="370"/>
      <c r="M890" s="370"/>
      <c r="N890" s="370"/>
      <c r="O890" s="371"/>
      <c r="P890" s="371"/>
      <c r="Q890" s="371"/>
      <c r="R890" s="372"/>
      <c r="S890" s="371"/>
      <c r="T890" s="371"/>
      <c r="U890" s="371"/>
    </row>
    <row r="891" spans="1:21" s="302" customFormat="1">
      <c r="A891" s="376"/>
      <c r="B891" s="376"/>
      <c r="C891" s="377"/>
      <c r="D891" s="377"/>
      <c r="E891" s="370"/>
      <c r="F891" s="370"/>
      <c r="G891" s="370"/>
      <c r="H891" s="370"/>
      <c r="I891" s="370"/>
      <c r="J891" s="370"/>
      <c r="K891" s="370"/>
      <c r="L891" s="370"/>
      <c r="M891" s="370"/>
      <c r="N891" s="370"/>
      <c r="O891" s="371"/>
      <c r="P891" s="371"/>
      <c r="Q891" s="371"/>
      <c r="R891" s="372"/>
      <c r="S891" s="371"/>
      <c r="T891" s="371"/>
      <c r="U891" s="371"/>
    </row>
    <row r="892" spans="1:21" s="302" customFormat="1">
      <c r="A892" s="371"/>
      <c r="B892" s="371"/>
      <c r="C892" s="371"/>
      <c r="D892" s="371"/>
      <c r="E892" s="370"/>
      <c r="F892" s="370"/>
      <c r="G892" s="370"/>
      <c r="H892" s="370"/>
      <c r="I892" s="370"/>
      <c r="J892" s="370"/>
      <c r="K892" s="370"/>
      <c r="L892" s="370"/>
      <c r="M892" s="370"/>
      <c r="N892" s="370"/>
      <c r="O892" s="371"/>
      <c r="P892" s="371"/>
      <c r="Q892" s="371"/>
      <c r="R892" s="372"/>
      <c r="S892" s="371"/>
      <c r="T892" s="371"/>
      <c r="U892" s="371"/>
    </row>
    <row r="893" spans="1:21" s="302" customFormat="1">
      <c r="A893" s="371"/>
      <c r="B893" s="371"/>
      <c r="C893" s="371"/>
      <c r="D893" s="371"/>
      <c r="E893" s="370"/>
      <c r="F893" s="370"/>
      <c r="G893" s="370"/>
      <c r="H893" s="370"/>
      <c r="I893" s="370"/>
      <c r="J893" s="370"/>
      <c r="K893" s="370"/>
      <c r="L893" s="370"/>
      <c r="M893" s="370"/>
      <c r="N893" s="370"/>
      <c r="O893" s="371"/>
      <c r="P893" s="371"/>
      <c r="Q893" s="371"/>
      <c r="R893" s="372"/>
      <c r="S893" s="371"/>
      <c r="T893" s="371"/>
      <c r="U893" s="371"/>
    </row>
    <row r="894" spans="1:21" s="302" customFormat="1">
      <c r="A894" s="371"/>
      <c r="B894" s="371"/>
      <c r="C894" s="371"/>
      <c r="D894" s="371"/>
      <c r="E894" s="370"/>
      <c r="F894" s="370"/>
      <c r="G894" s="370"/>
      <c r="H894" s="370"/>
      <c r="I894" s="370"/>
      <c r="J894" s="370"/>
      <c r="K894" s="370"/>
      <c r="L894" s="370"/>
      <c r="M894" s="370"/>
      <c r="N894" s="370"/>
      <c r="O894" s="371"/>
      <c r="P894" s="371"/>
      <c r="Q894" s="371"/>
      <c r="R894" s="372"/>
      <c r="S894" s="371"/>
      <c r="T894" s="371"/>
      <c r="U894" s="371"/>
    </row>
    <row r="895" spans="1:21" s="302" customFormat="1">
      <c r="A895" s="371"/>
      <c r="B895" s="371"/>
      <c r="C895" s="371"/>
      <c r="D895" s="371"/>
      <c r="E895" s="370"/>
      <c r="F895" s="370"/>
      <c r="G895" s="370"/>
      <c r="H895" s="370"/>
      <c r="I895" s="370"/>
      <c r="J895" s="370"/>
      <c r="K895" s="370"/>
      <c r="L895" s="370"/>
      <c r="M895" s="370"/>
      <c r="N895" s="370"/>
      <c r="O895" s="371"/>
      <c r="P895" s="371"/>
      <c r="Q895" s="371"/>
      <c r="R895" s="372"/>
      <c r="S895" s="371"/>
      <c r="T895" s="371"/>
      <c r="U895" s="371"/>
    </row>
    <row r="896" spans="1:21" s="302" customFormat="1">
      <c r="A896" s="371"/>
      <c r="B896" s="371"/>
      <c r="C896" s="371"/>
      <c r="D896" s="371"/>
      <c r="E896" s="370"/>
      <c r="F896" s="370"/>
      <c r="G896" s="370"/>
      <c r="H896" s="370"/>
      <c r="I896" s="370"/>
      <c r="J896" s="370"/>
      <c r="K896" s="370"/>
      <c r="L896" s="370"/>
      <c r="M896" s="370"/>
      <c r="N896" s="370"/>
      <c r="O896" s="371"/>
      <c r="P896" s="371"/>
      <c r="Q896" s="371"/>
      <c r="R896" s="372"/>
      <c r="S896" s="371"/>
      <c r="T896" s="371"/>
      <c r="U896" s="371"/>
    </row>
    <row r="897" spans="1:21" s="302" customFormat="1">
      <c r="A897" s="371"/>
      <c r="B897" s="371"/>
      <c r="C897" s="371"/>
      <c r="D897" s="371"/>
      <c r="E897" s="370"/>
      <c r="F897" s="370"/>
      <c r="G897" s="370"/>
      <c r="H897" s="370"/>
      <c r="I897" s="370"/>
      <c r="J897" s="370"/>
      <c r="K897" s="370"/>
      <c r="L897" s="370"/>
      <c r="M897" s="370"/>
      <c r="N897" s="370"/>
      <c r="O897" s="371"/>
      <c r="P897" s="371"/>
      <c r="Q897" s="371"/>
      <c r="R897" s="372"/>
      <c r="S897" s="371"/>
      <c r="T897" s="371"/>
      <c r="U897" s="371"/>
    </row>
    <row r="898" spans="1:21" s="302" customFormat="1">
      <c r="A898" s="371"/>
      <c r="B898" s="371"/>
      <c r="C898" s="371"/>
      <c r="D898" s="371"/>
      <c r="E898" s="370"/>
      <c r="F898" s="370"/>
      <c r="G898" s="370"/>
      <c r="H898" s="370"/>
      <c r="I898" s="370"/>
      <c r="J898" s="370"/>
      <c r="K898" s="370"/>
      <c r="L898" s="370"/>
      <c r="M898" s="370"/>
      <c r="N898" s="370"/>
      <c r="O898" s="371"/>
      <c r="P898" s="371"/>
      <c r="Q898" s="371"/>
      <c r="R898" s="372"/>
      <c r="S898" s="371"/>
      <c r="T898" s="371"/>
      <c r="U898" s="371"/>
    </row>
    <row r="899" spans="1:21" s="302" customFormat="1">
      <c r="A899" s="373" t="s">
        <v>175</v>
      </c>
      <c r="B899" s="374">
        <f>B849+1</f>
        <v>20</v>
      </c>
      <c r="C899" s="371"/>
      <c r="D899" s="371"/>
      <c r="E899" s="370"/>
      <c r="F899" s="370"/>
      <c r="G899" s="370"/>
      <c r="H899" s="370"/>
      <c r="I899" s="370"/>
      <c r="J899" s="370"/>
      <c r="K899" s="370"/>
      <c r="L899" s="370"/>
      <c r="M899" s="370"/>
      <c r="N899" s="370"/>
      <c r="O899" s="371"/>
      <c r="P899" s="371"/>
      <c r="Q899" s="371"/>
      <c r="R899" s="372"/>
      <c r="S899" s="371"/>
      <c r="T899" s="371"/>
      <c r="U899" s="371"/>
    </row>
    <row r="900" spans="1:21" s="302" customFormat="1">
      <c r="A900" s="451" t="s">
        <v>385</v>
      </c>
      <c r="B900" s="452"/>
      <c r="C900" s="452"/>
      <c r="D900" s="453"/>
      <c r="E900" s="370"/>
      <c r="F900" s="370"/>
      <c r="G900" s="370"/>
      <c r="H900" s="370"/>
      <c r="I900" s="370"/>
      <c r="J900" s="370"/>
      <c r="K900" s="370"/>
      <c r="L900" s="370"/>
      <c r="M900" s="370"/>
      <c r="N900" s="370"/>
      <c r="O900" s="371"/>
      <c r="P900" s="371"/>
      <c r="Q900" s="371"/>
      <c r="R900" s="372"/>
      <c r="S900" s="371"/>
      <c r="T900" s="371"/>
      <c r="U900" s="371"/>
    </row>
    <row r="901" spans="1:21" s="302" customFormat="1" ht="30">
      <c r="A901" s="378" t="s">
        <v>452</v>
      </c>
      <c r="B901" s="378" t="s">
        <v>142</v>
      </c>
      <c r="C901" s="375" t="s">
        <v>20</v>
      </c>
      <c r="D901" s="375" t="s">
        <v>21</v>
      </c>
      <c r="E901" s="370"/>
      <c r="F901" s="370"/>
      <c r="G901" s="370"/>
      <c r="H901" s="370"/>
      <c r="I901" s="370"/>
      <c r="J901" s="370"/>
      <c r="K901" s="370"/>
      <c r="L901" s="370"/>
      <c r="M901" s="370"/>
      <c r="N901" s="370"/>
      <c r="O901" s="371"/>
      <c r="P901" s="371"/>
      <c r="Q901" s="371"/>
      <c r="R901" s="372"/>
      <c r="S901" s="371"/>
      <c r="T901" s="371"/>
      <c r="U901" s="371"/>
    </row>
    <row r="902" spans="1:21" s="302" customFormat="1">
      <c r="A902" s="320"/>
      <c r="B902" s="320"/>
      <c r="C902" s="320"/>
      <c r="D902" s="320"/>
      <c r="E902" s="370"/>
      <c r="F902" s="370"/>
      <c r="G902" s="370"/>
      <c r="H902" s="370"/>
      <c r="I902" s="370"/>
      <c r="J902" s="370"/>
      <c r="K902" s="370"/>
      <c r="L902" s="370"/>
      <c r="M902" s="370"/>
      <c r="N902" s="370"/>
      <c r="O902" s="371"/>
      <c r="P902" s="371"/>
      <c r="Q902" s="371"/>
      <c r="R902" s="372"/>
      <c r="S902" s="371"/>
      <c r="T902" s="371"/>
      <c r="U902" s="371"/>
    </row>
    <row r="903" spans="1:21" s="302" customFormat="1">
      <c r="A903" s="320"/>
      <c r="B903" s="320"/>
      <c r="C903" s="320"/>
      <c r="D903" s="320"/>
      <c r="E903" s="370"/>
      <c r="F903" s="370"/>
      <c r="G903" s="370"/>
      <c r="H903" s="370"/>
      <c r="I903" s="370"/>
      <c r="J903" s="370"/>
      <c r="K903" s="370"/>
      <c r="L903" s="370"/>
      <c r="M903" s="370"/>
      <c r="N903" s="370"/>
      <c r="O903" s="371"/>
      <c r="P903" s="371"/>
      <c r="Q903" s="371"/>
      <c r="R903" s="372"/>
      <c r="S903" s="371"/>
      <c r="T903" s="371"/>
      <c r="U903" s="371"/>
    </row>
    <row r="904" spans="1:21" s="302" customFormat="1">
      <c r="A904" s="320"/>
      <c r="B904" s="320"/>
      <c r="C904" s="320"/>
      <c r="D904" s="320"/>
      <c r="E904" s="370"/>
      <c r="F904" s="370"/>
      <c r="G904" s="370"/>
      <c r="H904" s="370"/>
      <c r="I904" s="370"/>
      <c r="J904" s="370"/>
      <c r="K904" s="370"/>
      <c r="L904" s="370"/>
      <c r="M904" s="370"/>
      <c r="N904" s="370"/>
      <c r="O904" s="371"/>
      <c r="P904" s="371"/>
      <c r="Q904" s="371"/>
      <c r="R904" s="372"/>
      <c r="S904" s="371"/>
      <c r="T904" s="371"/>
      <c r="U904" s="371"/>
    </row>
    <row r="905" spans="1:21" s="302" customFormat="1">
      <c r="A905" s="320"/>
      <c r="B905" s="320"/>
      <c r="C905" s="320"/>
      <c r="D905" s="320"/>
      <c r="E905" s="370"/>
      <c r="F905" s="370"/>
      <c r="G905" s="370"/>
      <c r="H905" s="370"/>
      <c r="I905" s="370"/>
      <c r="J905" s="370"/>
      <c r="K905" s="370"/>
      <c r="L905" s="370"/>
      <c r="M905" s="370"/>
      <c r="N905" s="370"/>
      <c r="O905" s="371"/>
      <c r="P905" s="371"/>
      <c r="Q905" s="371"/>
      <c r="R905" s="372"/>
      <c r="S905" s="371"/>
      <c r="T905" s="371"/>
      <c r="U905" s="371"/>
    </row>
    <row r="906" spans="1:21" s="302" customFormat="1">
      <c r="A906" s="320"/>
      <c r="B906" s="320"/>
      <c r="C906" s="320"/>
      <c r="D906" s="320"/>
      <c r="E906" s="370"/>
      <c r="F906" s="370"/>
      <c r="G906" s="370"/>
      <c r="H906" s="370"/>
      <c r="I906" s="370"/>
      <c r="J906" s="370"/>
      <c r="K906" s="370"/>
      <c r="L906" s="370"/>
      <c r="M906" s="370"/>
      <c r="N906" s="370"/>
      <c r="O906" s="371"/>
      <c r="P906" s="371"/>
      <c r="Q906" s="371"/>
      <c r="R906" s="372"/>
      <c r="S906" s="371"/>
      <c r="T906" s="371"/>
      <c r="U906" s="371"/>
    </row>
    <row r="907" spans="1:21" s="302" customFormat="1">
      <c r="A907" s="320"/>
      <c r="B907" s="320"/>
      <c r="C907" s="320"/>
      <c r="D907" s="320"/>
      <c r="E907" s="370"/>
      <c r="F907" s="370"/>
      <c r="G907" s="370"/>
      <c r="H907" s="370"/>
      <c r="I907" s="370"/>
      <c r="J907" s="370"/>
      <c r="K907" s="370"/>
      <c r="L907" s="370"/>
      <c r="M907" s="370"/>
      <c r="N907" s="370"/>
      <c r="O907" s="371"/>
      <c r="P907" s="371"/>
      <c r="Q907" s="371"/>
      <c r="R907" s="372"/>
      <c r="S907" s="371"/>
      <c r="T907" s="371"/>
      <c r="U907" s="371"/>
    </row>
    <row r="908" spans="1:21" s="302" customFormat="1">
      <c r="A908" s="320"/>
      <c r="B908" s="320"/>
      <c r="C908" s="320"/>
      <c r="D908" s="320"/>
      <c r="E908" s="370"/>
      <c r="F908" s="370"/>
      <c r="G908" s="370"/>
      <c r="H908" s="370"/>
      <c r="I908" s="370"/>
      <c r="J908" s="370"/>
      <c r="K908" s="370"/>
      <c r="L908" s="370"/>
      <c r="M908" s="370"/>
      <c r="N908" s="370"/>
      <c r="O908" s="371"/>
      <c r="P908" s="371"/>
      <c r="Q908" s="371"/>
      <c r="R908" s="372"/>
      <c r="S908" s="371"/>
      <c r="T908" s="371"/>
      <c r="U908" s="371"/>
    </row>
    <row r="909" spans="1:21" s="302" customFormat="1">
      <c r="A909" s="320"/>
      <c r="B909" s="320"/>
      <c r="C909" s="320"/>
      <c r="D909" s="320"/>
      <c r="E909" s="370"/>
      <c r="F909" s="370"/>
      <c r="G909" s="370"/>
      <c r="H909" s="370"/>
      <c r="I909" s="370"/>
      <c r="J909" s="370"/>
      <c r="K909" s="370"/>
      <c r="L909" s="370"/>
      <c r="M909" s="370"/>
      <c r="N909" s="370"/>
      <c r="O909" s="371"/>
      <c r="P909" s="371"/>
      <c r="Q909" s="371"/>
      <c r="R909" s="372"/>
      <c r="S909" s="371"/>
      <c r="T909" s="371"/>
      <c r="U909" s="371"/>
    </row>
    <row r="910" spans="1:21" s="302" customFormat="1">
      <c r="A910" s="320"/>
      <c r="B910" s="320"/>
      <c r="C910" s="320"/>
      <c r="D910" s="320"/>
      <c r="E910" s="370"/>
      <c r="F910" s="370"/>
      <c r="G910" s="370"/>
      <c r="H910" s="370"/>
      <c r="I910" s="370"/>
      <c r="J910" s="370"/>
      <c r="K910" s="370"/>
      <c r="L910" s="370"/>
      <c r="M910" s="370"/>
      <c r="N910" s="370"/>
      <c r="O910" s="371"/>
      <c r="P910" s="371"/>
      <c r="Q910" s="371"/>
      <c r="R910" s="372"/>
      <c r="S910" s="371"/>
      <c r="T910" s="371"/>
      <c r="U910" s="371"/>
    </row>
    <row r="911" spans="1:21" s="302" customFormat="1">
      <c r="A911" s="320"/>
      <c r="B911" s="320"/>
      <c r="C911" s="320"/>
      <c r="D911" s="320"/>
      <c r="E911" s="370"/>
      <c r="F911" s="370"/>
      <c r="G911" s="370"/>
      <c r="H911" s="370"/>
      <c r="I911" s="370"/>
      <c r="J911" s="370"/>
      <c r="K911" s="370"/>
      <c r="L911" s="370"/>
      <c r="M911" s="370"/>
      <c r="N911" s="370"/>
      <c r="O911" s="371"/>
      <c r="P911" s="371"/>
      <c r="Q911" s="371"/>
      <c r="R911" s="372"/>
      <c r="S911" s="371"/>
      <c r="T911" s="371"/>
      <c r="U911" s="371"/>
    </row>
    <row r="912" spans="1:21" s="302" customFormat="1">
      <c r="A912" s="320"/>
      <c r="B912" s="320"/>
      <c r="C912" s="320"/>
      <c r="D912" s="320"/>
      <c r="E912" s="370"/>
      <c r="F912" s="370"/>
      <c r="G912" s="370"/>
      <c r="H912" s="370"/>
      <c r="I912" s="370"/>
      <c r="J912" s="370"/>
      <c r="K912" s="370"/>
      <c r="L912" s="370"/>
      <c r="M912" s="370"/>
      <c r="N912" s="370"/>
      <c r="O912" s="371"/>
      <c r="P912" s="371"/>
      <c r="Q912" s="371"/>
      <c r="R912" s="372"/>
      <c r="S912" s="371"/>
      <c r="T912" s="371"/>
      <c r="U912" s="371"/>
    </row>
    <row r="913" spans="1:21" s="302" customFormat="1">
      <c r="A913" s="320"/>
      <c r="B913" s="320"/>
      <c r="C913" s="320"/>
      <c r="D913" s="320"/>
      <c r="E913" s="370"/>
      <c r="F913" s="370"/>
      <c r="G913" s="370"/>
      <c r="H913" s="370"/>
      <c r="I913" s="370"/>
      <c r="J913" s="370"/>
      <c r="K913" s="370"/>
      <c r="L913" s="370"/>
      <c r="M913" s="370"/>
      <c r="N913" s="370"/>
      <c r="O913" s="371"/>
      <c r="P913" s="371"/>
      <c r="Q913" s="371"/>
      <c r="R913" s="372"/>
      <c r="S913" s="371"/>
      <c r="T913" s="371"/>
      <c r="U913" s="371"/>
    </row>
    <row r="914" spans="1:21" s="302" customFormat="1">
      <c r="A914" s="320"/>
      <c r="B914" s="320"/>
      <c r="C914" s="320"/>
      <c r="D914" s="320"/>
      <c r="E914" s="370"/>
      <c r="F914" s="370"/>
      <c r="G914" s="370"/>
      <c r="H914" s="370"/>
      <c r="I914" s="370"/>
      <c r="J914" s="370"/>
      <c r="K914" s="370"/>
      <c r="L914" s="370"/>
      <c r="M914" s="370"/>
      <c r="N914" s="370"/>
      <c r="O914" s="371"/>
      <c r="P914" s="371"/>
      <c r="Q914" s="371"/>
      <c r="R914" s="372"/>
      <c r="S914" s="371"/>
      <c r="T914" s="371"/>
      <c r="U914" s="371"/>
    </row>
    <row r="915" spans="1:21" s="302" customFormat="1">
      <c r="A915" s="320"/>
      <c r="B915" s="320"/>
      <c r="C915" s="320"/>
      <c r="D915" s="320"/>
      <c r="E915" s="370"/>
      <c r="F915" s="370"/>
      <c r="G915" s="370"/>
      <c r="H915" s="370"/>
      <c r="I915" s="370"/>
      <c r="J915" s="370"/>
      <c r="K915" s="370"/>
      <c r="L915" s="370"/>
      <c r="M915" s="370"/>
      <c r="N915" s="370"/>
      <c r="O915" s="371"/>
      <c r="P915" s="371"/>
      <c r="Q915" s="371"/>
      <c r="R915" s="372"/>
      <c r="S915" s="371"/>
      <c r="T915" s="371"/>
      <c r="U915" s="371"/>
    </row>
    <row r="916" spans="1:21" s="302" customFormat="1">
      <c r="A916" s="320"/>
      <c r="B916" s="320"/>
      <c r="C916" s="320"/>
      <c r="D916" s="320"/>
      <c r="E916" s="370"/>
      <c r="F916" s="370"/>
      <c r="G916" s="370"/>
      <c r="H916" s="370"/>
      <c r="I916" s="370"/>
      <c r="J916" s="370"/>
      <c r="K916" s="370"/>
      <c r="L916" s="370"/>
      <c r="M916" s="370"/>
      <c r="N916" s="370"/>
      <c r="O916" s="371"/>
      <c r="P916" s="371"/>
      <c r="Q916" s="371"/>
      <c r="R916" s="372"/>
      <c r="S916" s="371"/>
      <c r="T916" s="371"/>
      <c r="U916" s="371"/>
    </row>
    <row r="917" spans="1:21" s="302" customFormat="1">
      <c r="A917" s="320"/>
      <c r="B917" s="320"/>
      <c r="C917" s="320"/>
      <c r="D917" s="320"/>
      <c r="E917" s="370"/>
      <c r="F917" s="370"/>
      <c r="G917" s="370"/>
      <c r="H917" s="370"/>
      <c r="I917" s="370"/>
      <c r="J917" s="370"/>
      <c r="K917" s="370"/>
      <c r="L917" s="370"/>
      <c r="M917" s="370"/>
      <c r="N917" s="370"/>
      <c r="O917" s="371"/>
      <c r="P917" s="371"/>
      <c r="Q917" s="371"/>
      <c r="R917" s="372"/>
      <c r="S917" s="371"/>
      <c r="T917" s="371"/>
      <c r="U917" s="371"/>
    </row>
    <row r="918" spans="1:21" s="302" customFormat="1">
      <c r="A918" s="320"/>
      <c r="B918" s="320"/>
      <c r="C918" s="320"/>
      <c r="D918" s="320"/>
      <c r="E918" s="370"/>
      <c r="F918" s="370"/>
      <c r="G918" s="370"/>
      <c r="H918" s="370"/>
      <c r="I918" s="370"/>
      <c r="J918" s="370"/>
      <c r="K918" s="370"/>
      <c r="L918" s="370"/>
      <c r="M918" s="370"/>
      <c r="N918" s="370"/>
      <c r="O918" s="371"/>
      <c r="P918" s="371"/>
      <c r="Q918" s="371"/>
      <c r="R918" s="372"/>
      <c r="S918" s="371"/>
      <c r="T918" s="371"/>
      <c r="U918" s="371"/>
    </row>
    <row r="919" spans="1:21" s="302" customFormat="1">
      <c r="A919" s="320"/>
      <c r="B919" s="320"/>
      <c r="C919" s="320"/>
      <c r="D919" s="320"/>
      <c r="E919" s="370"/>
      <c r="F919" s="370"/>
      <c r="G919" s="370"/>
      <c r="H919" s="370"/>
      <c r="I919" s="370"/>
      <c r="J919" s="370"/>
      <c r="K919" s="370"/>
      <c r="L919" s="370"/>
      <c r="M919" s="370"/>
      <c r="N919" s="370"/>
      <c r="O919" s="371"/>
      <c r="P919" s="371"/>
      <c r="Q919" s="371"/>
      <c r="R919" s="372"/>
      <c r="S919" s="371"/>
      <c r="T919" s="371"/>
      <c r="U919" s="371"/>
    </row>
    <row r="920" spans="1:21" s="302" customFormat="1">
      <c r="A920" s="320"/>
      <c r="B920" s="320"/>
      <c r="C920" s="320"/>
      <c r="D920" s="320"/>
      <c r="E920" s="370"/>
      <c r="F920" s="370"/>
      <c r="G920" s="370"/>
      <c r="H920" s="370"/>
      <c r="I920" s="370"/>
      <c r="J920" s="370"/>
      <c r="K920" s="370"/>
      <c r="L920" s="370"/>
      <c r="M920" s="370"/>
      <c r="N920" s="370"/>
      <c r="O920" s="371"/>
      <c r="P920" s="371"/>
      <c r="Q920" s="371"/>
      <c r="R920" s="372"/>
      <c r="S920" s="371"/>
      <c r="T920" s="371"/>
      <c r="U920" s="371"/>
    </row>
    <row r="921" spans="1:21" s="302" customFormat="1">
      <c r="A921" s="320"/>
      <c r="B921" s="320"/>
      <c r="C921" s="320"/>
      <c r="D921" s="320"/>
      <c r="E921" s="370"/>
      <c r="F921" s="370"/>
      <c r="G921" s="370"/>
      <c r="H921" s="370"/>
      <c r="I921" s="370"/>
      <c r="J921" s="370"/>
      <c r="K921" s="370"/>
      <c r="L921" s="370"/>
      <c r="M921" s="370"/>
      <c r="N921" s="370"/>
      <c r="O921" s="371"/>
      <c r="P921" s="371"/>
      <c r="Q921" s="371"/>
      <c r="R921" s="372"/>
      <c r="S921" s="371"/>
      <c r="T921" s="371"/>
      <c r="U921" s="371"/>
    </row>
    <row r="922" spans="1:21" s="302" customFormat="1">
      <c r="A922" s="320"/>
      <c r="B922" s="320"/>
      <c r="C922" s="320"/>
      <c r="D922" s="320"/>
      <c r="E922" s="370"/>
      <c r="F922" s="370"/>
      <c r="G922" s="370"/>
      <c r="H922" s="370"/>
      <c r="I922" s="370"/>
      <c r="J922" s="370"/>
      <c r="K922" s="370"/>
      <c r="L922" s="370"/>
      <c r="M922" s="370"/>
      <c r="N922" s="370"/>
      <c r="O922" s="371"/>
      <c r="P922" s="371"/>
      <c r="Q922" s="371"/>
      <c r="R922" s="372"/>
      <c r="S922" s="371"/>
      <c r="T922" s="371"/>
      <c r="U922" s="371"/>
    </row>
    <row r="923" spans="1:21" s="302" customFormat="1">
      <c r="A923" s="320"/>
      <c r="B923" s="320"/>
      <c r="C923" s="320"/>
      <c r="D923" s="320"/>
      <c r="E923" s="370"/>
      <c r="F923" s="370"/>
      <c r="G923" s="370"/>
      <c r="H923" s="370"/>
      <c r="I923" s="370"/>
      <c r="J923" s="370"/>
      <c r="K923" s="370"/>
      <c r="L923" s="370"/>
      <c r="M923" s="370"/>
      <c r="N923" s="370"/>
      <c r="O923" s="371"/>
      <c r="P923" s="371"/>
      <c r="Q923" s="371"/>
      <c r="R923" s="372"/>
      <c r="S923" s="371"/>
      <c r="T923" s="371"/>
      <c r="U923" s="371"/>
    </row>
    <row r="924" spans="1:21" s="302" customFormat="1">
      <c r="A924" s="320"/>
      <c r="B924" s="320"/>
      <c r="C924" s="320"/>
      <c r="D924" s="320"/>
      <c r="E924" s="370"/>
      <c r="F924" s="370"/>
      <c r="G924" s="370"/>
      <c r="H924" s="370"/>
      <c r="I924" s="370"/>
      <c r="J924" s="370"/>
      <c r="K924" s="370"/>
      <c r="L924" s="370"/>
      <c r="M924" s="370"/>
      <c r="N924" s="370"/>
      <c r="O924" s="371"/>
      <c r="P924" s="371"/>
      <c r="Q924" s="371"/>
      <c r="R924" s="372"/>
      <c r="S924" s="371"/>
      <c r="T924" s="371"/>
      <c r="U924" s="371"/>
    </row>
    <row r="925" spans="1:21" s="302" customFormat="1">
      <c r="A925" s="320"/>
      <c r="B925" s="320"/>
      <c r="C925" s="320"/>
      <c r="D925" s="320"/>
      <c r="E925" s="370"/>
      <c r="F925" s="370"/>
      <c r="G925" s="370"/>
      <c r="H925" s="370"/>
      <c r="I925" s="370"/>
      <c r="J925" s="370"/>
      <c r="K925" s="370"/>
      <c r="L925" s="370"/>
      <c r="M925" s="370"/>
      <c r="N925" s="370"/>
      <c r="O925" s="371"/>
      <c r="P925" s="371"/>
      <c r="Q925" s="371"/>
      <c r="R925" s="372"/>
      <c r="S925" s="371"/>
      <c r="T925" s="371"/>
      <c r="U925" s="371"/>
    </row>
    <row r="926" spans="1:21" s="302" customFormat="1">
      <c r="A926" s="320"/>
      <c r="B926" s="320"/>
      <c r="C926" s="320"/>
      <c r="D926" s="320"/>
      <c r="E926" s="370"/>
      <c r="F926" s="370"/>
      <c r="G926" s="370"/>
      <c r="H926" s="370"/>
      <c r="I926" s="370"/>
      <c r="J926" s="370"/>
      <c r="K926" s="370"/>
      <c r="L926" s="370"/>
      <c r="M926" s="370"/>
      <c r="N926" s="370"/>
      <c r="O926" s="371"/>
      <c r="P926" s="371"/>
      <c r="Q926" s="371"/>
      <c r="R926" s="372"/>
      <c r="S926" s="371"/>
      <c r="T926" s="371"/>
      <c r="U926" s="371"/>
    </row>
    <row r="927" spans="1:21" s="302" customFormat="1">
      <c r="A927" s="320"/>
      <c r="B927" s="320"/>
      <c r="C927" s="320"/>
      <c r="D927" s="320"/>
      <c r="E927" s="370"/>
      <c r="F927" s="370"/>
      <c r="G927" s="370"/>
      <c r="H927" s="370"/>
      <c r="I927" s="370"/>
      <c r="J927" s="370"/>
      <c r="K927" s="370"/>
      <c r="L927" s="370"/>
      <c r="M927" s="370"/>
      <c r="N927" s="370"/>
      <c r="O927" s="371"/>
      <c r="P927" s="371"/>
      <c r="Q927" s="371"/>
      <c r="R927" s="372"/>
      <c r="S927" s="371"/>
      <c r="T927" s="371"/>
      <c r="U927" s="371"/>
    </row>
    <row r="928" spans="1:21" s="302" customFormat="1">
      <c r="A928" s="320"/>
      <c r="B928" s="320"/>
      <c r="C928" s="320"/>
      <c r="D928" s="320"/>
      <c r="E928" s="370"/>
      <c r="F928" s="370"/>
      <c r="G928" s="370"/>
      <c r="H928" s="370"/>
      <c r="I928" s="370"/>
      <c r="J928" s="370"/>
      <c r="K928" s="370"/>
      <c r="L928" s="370"/>
      <c r="M928" s="370"/>
      <c r="N928" s="370"/>
      <c r="O928" s="371"/>
      <c r="P928" s="371"/>
      <c r="Q928" s="371"/>
      <c r="R928" s="372"/>
      <c r="S928" s="371"/>
      <c r="T928" s="371"/>
      <c r="U928" s="371"/>
    </row>
    <row r="929" spans="1:21" s="302" customFormat="1">
      <c r="A929" s="320"/>
      <c r="B929" s="320"/>
      <c r="C929" s="377"/>
      <c r="D929" s="377"/>
      <c r="E929" s="370"/>
      <c r="F929" s="370"/>
      <c r="G929" s="370"/>
      <c r="H929" s="370"/>
      <c r="I929" s="370"/>
      <c r="J929" s="370"/>
      <c r="K929" s="370"/>
      <c r="L929" s="370"/>
      <c r="M929" s="370"/>
      <c r="N929" s="370"/>
      <c r="O929" s="371"/>
      <c r="P929" s="371"/>
      <c r="Q929" s="371"/>
      <c r="R929" s="372"/>
      <c r="S929" s="371"/>
      <c r="T929" s="371"/>
      <c r="U929" s="371"/>
    </row>
    <row r="930" spans="1:21" s="302" customFormat="1">
      <c r="A930" s="320"/>
      <c r="B930" s="320"/>
      <c r="C930" s="377"/>
      <c r="D930" s="377"/>
      <c r="E930" s="370"/>
      <c r="F930" s="370"/>
      <c r="G930" s="370"/>
      <c r="H930" s="370"/>
      <c r="I930" s="370"/>
      <c r="J930" s="370"/>
      <c r="K930" s="370"/>
      <c r="L930" s="370"/>
      <c r="M930" s="370"/>
      <c r="N930" s="370"/>
      <c r="O930" s="371"/>
      <c r="P930" s="371"/>
      <c r="Q930" s="371"/>
      <c r="R930" s="372"/>
      <c r="S930" s="371"/>
      <c r="T930" s="371"/>
      <c r="U930" s="371"/>
    </row>
    <row r="931" spans="1:21" s="302" customFormat="1">
      <c r="A931" s="320"/>
      <c r="B931" s="320"/>
      <c r="C931" s="377"/>
      <c r="D931" s="377"/>
      <c r="E931" s="370"/>
      <c r="F931" s="370"/>
      <c r="G931" s="370"/>
      <c r="H931" s="370"/>
      <c r="I931" s="370"/>
      <c r="J931" s="370"/>
      <c r="K931" s="370"/>
      <c r="L931" s="370"/>
      <c r="M931" s="370"/>
      <c r="N931" s="370"/>
      <c r="O931" s="371"/>
      <c r="P931" s="371"/>
      <c r="Q931" s="371"/>
      <c r="R931" s="372"/>
      <c r="S931" s="371"/>
      <c r="T931" s="371"/>
      <c r="U931" s="371"/>
    </row>
    <row r="932" spans="1:21" s="302" customFormat="1">
      <c r="A932" s="320"/>
      <c r="B932" s="320"/>
      <c r="C932" s="377"/>
      <c r="D932" s="377"/>
      <c r="E932" s="370"/>
      <c r="F932" s="370"/>
      <c r="G932" s="370"/>
      <c r="H932" s="370"/>
      <c r="I932" s="370"/>
      <c r="J932" s="370"/>
      <c r="K932" s="370"/>
      <c r="L932" s="370"/>
      <c r="M932" s="370"/>
      <c r="N932" s="370"/>
      <c r="O932" s="371"/>
      <c r="P932" s="371"/>
      <c r="Q932" s="371"/>
      <c r="R932" s="372"/>
      <c r="S932" s="371"/>
      <c r="T932" s="371"/>
      <c r="U932" s="371"/>
    </row>
    <row r="933" spans="1:21" s="302" customFormat="1">
      <c r="A933" s="376"/>
      <c r="B933" s="376"/>
      <c r="C933" s="377"/>
      <c r="D933" s="377"/>
      <c r="E933" s="370"/>
      <c r="F933" s="370"/>
      <c r="G933" s="370"/>
      <c r="H933" s="370"/>
      <c r="I933" s="370"/>
      <c r="J933" s="370"/>
      <c r="K933" s="370"/>
      <c r="L933" s="370"/>
      <c r="M933" s="370"/>
      <c r="N933" s="370"/>
      <c r="O933" s="371"/>
      <c r="P933" s="371"/>
      <c r="Q933" s="371"/>
      <c r="R933" s="372"/>
      <c r="S933" s="371"/>
      <c r="T933" s="371"/>
      <c r="U933" s="371"/>
    </row>
    <row r="934" spans="1:21" s="302" customFormat="1">
      <c r="A934" s="376"/>
      <c r="B934" s="376"/>
      <c r="C934" s="377"/>
      <c r="D934" s="377"/>
      <c r="E934" s="370"/>
      <c r="F934" s="370"/>
      <c r="G934" s="370"/>
      <c r="H934" s="370"/>
      <c r="I934" s="370"/>
      <c r="J934" s="370"/>
      <c r="K934" s="370"/>
      <c r="L934" s="370"/>
      <c r="M934" s="370"/>
      <c r="N934" s="370"/>
      <c r="O934" s="371"/>
      <c r="P934" s="371"/>
      <c r="Q934" s="371"/>
      <c r="R934" s="372"/>
      <c r="S934" s="371"/>
      <c r="T934" s="371"/>
      <c r="U934" s="371"/>
    </row>
    <row r="935" spans="1:21" s="302" customFormat="1">
      <c r="A935" s="376"/>
      <c r="B935" s="376"/>
      <c r="C935" s="377"/>
      <c r="D935" s="377"/>
      <c r="E935" s="370"/>
      <c r="F935" s="370"/>
      <c r="G935" s="370"/>
      <c r="H935" s="370"/>
      <c r="I935" s="370"/>
      <c r="J935" s="370"/>
      <c r="K935" s="370"/>
      <c r="L935" s="370"/>
      <c r="M935" s="370"/>
      <c r="N935" s="370"/>
      <c r="O935" s="371"/>
      <c r="P935" s="371"/>
      <c r="Q935" s="371"/>
      <c r="R935" s="372"/>
      <c r="S935" s="371"/>
      <c r="T935" s="371"/>
      <c r="U935" s="371"/>
    </row>
    <row r="936" spans="1:21" s="302" customFormat="1">
      <c r="A936" s="376"/>
      <c r="B936" s="376"/>
      <c r="C936" s="377"/>
      <c r="D936" s="377"/>
      <c r="E936" s="370"/>
      <c r="F936" s="370"/>
      <c r="G936" s="370"/>
      <c r="H936" s="370"/>
      <c r="I936" s="370"/>
      <c r="J936" s="370"/>
      <c r="K936" s="370"/>
      <c r="L936" s="370"/>
      <c r="M936" s="370"/>
      <c r="N936" s="370"/>
      <c r="O936" s="371"/>
      <c r="P936" s="371"/>
      <c r="Q936" s="371"/>
      <c r="R936" s="372"/>
      <c r="S936" s="371"/>
      <c r="T936" s="371"/>
      <c r="U936" s="371"/>
    </row>
    <row r="937" spans="1:21" s="302" customFormat="1">
      <c r="A937" s="376"/>
      <c r="B937" s="376"/>
      <c r="C937" s="377"/>
      <c r="D937" s="377"/>
      <c r="E937" s="370"/>
      <c r="F937" s="370"/>
      <c r="G937" s="370"/>
      <c r="H937" s="370"/>
      <c r="I937" s="370"/>
      <c r="J937" s="370"/>
      <c r="K937" s="370"/>
      <c r="L937" s="370"/>
      <c r="M937" s="370"/>
      <c r="N937" s="370"/>
      <c r="O937" s="371"/>
      <c r="P937" s="371"/>
      <c r="Q937" s="371"/>
      <c r="R937" s="372"/>
      <c r="S937" s="371"/>
      <c r="T937" s="371"/>
      <c r="U937" s="371"/>
    </row>
    <row r="938" spans="1:21" s="302" customFormat="1">
      <c r="A938" s="376"/>
      <c r="B938" s="376"/>
      <c r="C938" s="377"/>
      <c r="D938" s="377"/>
      <c r="E938" s="370"/>
      <c r="F938" s="370"/>
      <c r="G938" s="370"/>
      <c r="H938" s="370"/>
      <c r="I938" s="370"/>
      <c r="J938" s="370"/>
      <c r="K938" s="370"/>
      <c r="L938" s="370"/>
      <c r="M938" s="370"/>
      <c r="N938" s="370"/>
      <c r="O938" s="371"/>
      <c r="P938" s="371"/>
      <c r="Q938" s="371"/>
      <c r="R938" s="372"/>
      <c r="S938" s="371"/>
      <c r="T938" s="371"/>
      <c r="U938" s="371"/>
    </row>
    <row r="939" spans="1:21" s="302" customFormat="1">
      <c r="A939" s="376"/>
      <c r="B939" s="376"/>
      <c r="C939" s="377"/>
      <c r="D939" s="377"/>
      <c r="E939" s="370"/>
      <c r="F939" s="370"/>
      <c r="G939" s="370"/>
      <c r="H939" s="370"/>
      <c r="I939" s="370"/>
      <c r="J939" s="370"/>
      <c r="K939" s="370"/>
      <c r="L939" s="370"/>
      <c r="M939" s="370"/>
      <c r="N939" s="370"/>
      <c r="O939" s="371"/>
      <c r="P939" s="371"/>
      <c r="Q939" s="371"/>
      <c r="R939" s="372"/>
      <c r="S939" s="371"/>
      <c r="T939" s="371"/>
      <c r="U939" s="371"/>
    </row>
    <row r="940" spans="1:21" s="302" customFormat="1">
      <c r="A940" s="376"/>
      <c r="B940" s="376"/>
      <c r="C940" s="377"/>
      <c r="D940" s="377"/>
      <c r="E940" s="370"/>
      <c r="F940" s="370"/>
      <c r="G940" s="370"/>
      <c r="H940" s="370"/>
      <c r="I940" s="370"/>
      <c r="J940" s="370"/>
      <c r="K940" s="370"/>
      <c r="L940" s="370"/>
      <c r="M940" s="370"/>
      <c r="N940" s="370"/>
      <c r="O940" s="371"/>
      <c r="P940" s="371"/>
      <c r="Q940" s="371"/>
      <c r="R940" s="372"/>
      <c r="S940" s="371"/>
      <c r="T940" s="371"/>
      <c r="U940" s="371"/>
    </row>
    <row r="941" spans="1:21" s="302" customFormat="1">
      <c r="A941" s="376"/>
      <c r="B941" s="376"/>
      <c r="C941" s="377"/>
      <c r="D941" s="377"/>
      <c r="E941" s="370"/>
      <c r="F941" s="370"/>
      <c r="G941" s="370"/>
      <c r="H941" s="370"/>
      <c r="I941" s="370"/>
      <c r="J941" s="370"/>
      <c r="K941" s="370"/>
      <c r="L941" s="370"/>
      <c r="M941" s="370"/>
      <c r="N941" s="370"/>
      <c r="O941" s="371"/>
      <c r="P941" s="371"/>
      <c r="Q941" s="371"/>
      <c r="R941" s="372"/>
      <c r="S941" s="371"/>
      <c r="T941" s="371"/>
      <c r="U941" s="371"/>
    </row>
    <row r="942" spans="1:21">
      <c r="A942" s="133"/>
      <c r="B942" s="133"/>
      <c r="C942" s="133"/>
      <c r="D942" s="133"/>
      <c r="E942" s="379"/>
      <c r="F942" s="379"/>
      <c r="G942" s="379"/>
      <c r="H942" s="379"/>
      <c r="I942" s="379"/>
      <c r="J942" s="379"/>
      <c r="K942" s="379"/>
      <c r="L942" s="379"/>
      <c r="M942" s="379"/>
      <c r="N942" s="379"/>
      <c r="O942" s="133"/>
      <c r="P942" s="133"/>
      <c r="Q942" s="133"/>
      <c r="R942" s="380"/>
      <c r="S942" s="133"/>
      <c r="T942" s="133"/>
      <c r="U942" s="133"/>
    </row>
    <row r="943" spans="1:21">
      <c r="A943" s="133"/>
      <c r="B943" s="133"/>
      <c r="C943" s="133"/>
      <c r="D943" s="133"/>
      <c r="E943" s="379"/>
      <c r="F943" s="379"/>
      <c r="G943" s="379"/>
      <c r="H943" s="379"/>
      <c r="I943" s="379"/>
      <c r="J943" s="379"/>
      <c r="K943" s="379"/>
      <c r="L943" s="379"/>
      <c r="M943" s="379"/>
      <c r="N943" s="379"/>
      <c r="O943" s="133"/>
      <c r="P943" s="133"/>
      <c r="Q943" s="133"/>
      <c r="R943" s="380"/>
      <c r="S943" s="133"/>
      <c r="T943" s="133"/>
      <c r="U943" s="133"/>
    </row>
  </sheetData>
  <mergeCells count="24">
    <mergeCell ref="L17:T17"/>
    <mergeCell ref="I201:O201"/>
    <mergeCell ref="A750:E750"/>
    <mergeCell ref="C17:K17"/>
    <mergeCell ref="A17:B17"/>
    <mergeCell ref="A68:F68"/>
    <mergeCell ref="A551:G551"/>
    <mergeCell ref="A651:G651"/>
    <mergeCell ref="A601:G601"/>
    <mergeCell ref="A701:G701"/>
    <mergeCell ref="A900:D900"/>
    <mergeCell ref="A451:G451"/>
    <mergeCell ref="A501:G501"/>
    <mergeCell ref="A117:H117"/>
    <mergeCell ref="A201:G201"/>
    <mergeCell ref="A301:G301"/>
    <mergeCell ref="A251:G251"/>
    <mergeCell ref="A351:G351"/>
    <mergeCell ref="A401:G401"/>
    <mergeCell ref="Q201:W201"/>
    <mergeCell ref="I301:O301"/>
    <mergeCell ref="I551:O551"/>
    <mergeCell ref="A800:E800"/>
    <mergeCell ref="A850:D850"/>
  </mergeCells>
  <phoneticPr fontId="2" type="noConversion"/>
  <conditionalFormatting sqref="B249">
    <cfRule type="cellIs" dxfId="10" priority="410" stopIfTrue="1" operator="equal">
      <formula>"Tensile"</formula>
    </cfRule>
    <cfRule type="cellIs" dxfId="9" priority="411" stopIfTrue="1" operator="equal">
      <formula>"Compressive"</formula>
    </cfRule>
    <cfRule type="cellIs" dxfId="8" priority="412" stopIfTrue="1" operator="equal">
      <formula>"Reversal"</formula>
    </cfRule>
  </conditionalFormatting>
  <conditionalFormatting sqref="A791:A798 A800:B800 A850:B850 A900:B900 A950:B950 C747:G749 A550:B550 A600:B600 A650:B650 A700:B700 C791:E798 B749 A747:A749 A500:B500 A5:B5 A1:B1 A116:B116 A67:B67 I200:J200 A200:B200 A250:B250 A300:B300 A350:B350 A400:B400 A16:B16 A450:B450 O221 O223 O225 L225 K222:O222 K224:O224 A221:A242 I221:I242 A271:A292 A321:A342 A371:A392 A421:A442 A471:A492 A521:A542 A571:A592 A621:A642 A671:A692 A721:A742 C853:E892 C953:D992 A88:A109 C902:D942 C852:D864 C802:E842 D752:D784 C702:G742 C652:G692 C602:G642 C553:G592 C503:G542 C453:G492 C403:G442 C353:G392 C303:G342 C253:G275 C203:G225 K203:O220 B70:F109">
    <cfRule type="cellIs" dxfId="7" priority="413" stopIfTrue="1" operator="equal">
      <formula>"None"</formula>
    </cfRule>
  </conditionalFormatting>
  <conditionalFormatting sqref="B249">
    <cfRule type="cellIs" dxfId="6" priority="5" stopIfTrue="1" operator="equal">
      <formula>"Tensile"</formula>
    </cfRule>
    <cfRule type="cellIs" dxfId="5" priority="6" stopIfTrue="1" operator="equal">
      <formula>"Compressive"</formula>
    </cfRule>
    <cfRule type="cellIs" dxfId="4" priority="7" stopIfTrue="1" operator="equal">
      <formula>"Reversal"</formula>
    </cfRule>
  </conditionalFormatting>
  <conditionalFormatting sqref="A852:D862 A749:B749 A799:B799 A849:B849 A899:B899 A747:A748 C747:G748 A550:B550 A600:B600 A650:B650 A700:B700 A500:B500 A5:B5 A1:B1 A116:B116 A67:B67 I200:J200 A200:B200 A250:B250 A300:B300 A350:B350 A400:B400 A16:B16 I203:O213 A450:B450 I250:J250 A253:G263 A90:F109 A752:E762 A902:D912 I223:I242 A273:A292 A303:G313 A323:A342 B81:F89 Q200:R200 A203:A242 I328:I347 K328:O329 A353:G363 A373:A392 A403:G413 A423:A442 S228:W229 Q228:Q245 A453:G463 A473:A492 A503:G513 A523:A542 A553:G563 A573:A592 I553:O563 I573:I592 A603:G613 A623:A642 A673:A692 A723:A742 A922:A932 A653:G663 A703:G713 A415:G415 A902:B921 C902:D941 C852:D891 A852:A882 B852:B871 A802:A832 B802:B821 C802:E841 C752:E791 A752:A782 B752:B771 A703:B722 C702:G742 A653:B672 C652:G692 A603:B622 C602:G642 A553:B572 C553:G592 I553:J572 K553:O589 A503:B522 C503:G542 A453:B472 C453:G492 A403:B422 C403:G442 A353:B372 C353:G392 A303:B322 C303:G342 I303:O327 A253:B272 C253:G277 A203:B216 C203:G227 I203:J222 K203:O227 A70:F80 Q203:W227">
    <cfRule type="cellIs" dxfId="3" priority="4" stopIfTrue="1" operator="equal">
      <formula>"None"</formula>
    </cfRule>
  </conditionalFormatting>
  <conditionalFormatting sqref="F119:H195">
    <cfRule type="containsBlanks" dxfId="2" priority="3" stopIfTrue="1">
      <formula>LEN(TRIM(F119))=0</formula>
    </cfRule>
  </conditionalFormatting>
  <conditionalFormatting sqref="K553:O566">
    <cfRule type="cellIs" dxfId="1" priority="2" stopIfTrue="1" operator="equal">
      <formula>"None"</formula>
    </cfRule>
  </conditionalFormatting>
  <conditionalFormatting sqref="K303:O316">
    <cfRule type="cellIs" dxfId="0" priority="1" stopIfTrue="1" operator="equal">
      <formula>"None"</formula>
    </cfRule>
  </conditionalFormatting>
  <pageMargins left="0.75" right="0.75" top="1" bottom="1" header="0.5" footer="0.5"/>
  <pageSetup paperSize="17" scale="10"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58E8989A9C9244BB6FFFD1A6C3B354C" ma:contentTypeVersion="9" ma:contentTypeDescription="Create a new document." ma:contentTypeScope="" ma:versionID="06184af46b64235a9d8e8f5e501c4d5b">
  <xsd:schema xmlns:xsd="http://www.w3.org/2001/XMLSchema" xmlns:xs="http://www.w3.org/2001/XMLSchema" xmlns:p="http://schemas.microsoft.com/office/2006/metadata/properties" targetNamespace="http://schemas.microsoft.com/office/2006/metadata/properties" ma:root="true" ma:fieldsID="4fe60c638a690b8a6476d8b608f01a8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DDA248D-6C14-49C8-B8ED-2F7BEBDE125C}"/>
</file>

<file path=customXml/itemProps2.xml><?xml version="1.0" encoding="utf-8"?>
<ds:datastoreItem xmlns:ds="http://schemas.openxmlformats.org/officeDocument/2006/customXml" ds:itemID="{1708BA89-A92D-4C40-80AD-FE7A3486629D}"/>
</file>

<file path=customXml/itemProps3.xml><?xml version="1.0" encoding="utf-8"?>
<ds:datastoreItem xmlns:ds="http://schemas.openxmlformats.org/officeDocument/2006/customXml" ds:itemID="{C2983F27-B2F2-4344-99AD-0465192D49E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Gusset Plates Rating</vt:lpstr>
      <vt:lpstr>Member Loads</vt:lpstr>
      <vt:lpstr>Info Tables</vt:lpstr>
      <vt:lpstr>'Gusset Plates Rating'!Print_Area</vt:lpstr>
      <vt:lpstr>'Member Loads'!Print_Area</vt:lpstr>
    </vt:vector>
  </TitlesOfParts>
  <Company>Ohio Department of Transportation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Spreadsheet for checking stresses in gusset plates</dc:title>
  <dc:subject>Truss Rating</dc:subject>
  <dc:creator>oabuhaja</dc:creator>
  <dc:description>This files was prepared by Omar Abu-Hajar, P.E.  and Checked by Mike Brokaw, P.E. in the Office of Structural Engineering at ODOT.  For any questions about this file, you may call 614-387-1257.</dc:description>
  <cp:lastModifiedBy>oabuhaja</cp:lastModifiedBy>
  <cp:lastPrinted>2009-12-29T17:39:16Z</cp:lastPrinted>
  <dcterms:created xsi:type="dcterms:W3CDTF">2007-10-03T15:32:14Z</dcterms:created>
  <dcterms:modified xsi:type="dcterms:W3CDTF">2010-01-05T18:20:00Z</dcterms:modified>
  <cp:category>Structrual Engineering</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0x010100658E8989A9C9244BB6FFFD1A6C3B354C</vt:lpwstr>
  </property>
</Properties>
</file>